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soleymani\Desktop\"/>
    </mc:Choice>
  </mc:AlternateContent>
  <bookViews>
    <workbookView xWindow="0" yWindow="0" windowWidth="21570" windowHeight="7860"/>
  </bookViews>
  <sheets>
    <sheet name="کل امتیازات" sheetId="12" r:id="rId1"/>
    <sheet name="سوابق امتیاز پژوهشی" sheetId="19" r:id="rId2"/>
    <sheet name="فعالیت آموزشی" sheetId="13" r:id="rId3"/>
    <sheet name="طرح درسی" sheetId="16" r:id="rId4"/>
    <sheet name="فعالیت های مرتبط با آموزش" sheetId="17" r:id="rId5"/>
    <sheet name="مقالات" sheetId="1" r:id="rId6"/>
    <sheet name="کنگره و همایش ها" sheetId="3" r:id="rId7"/>
    <sheet name="کتاب" sheetId="4" r:id="rId8"/>
    <sheet name="طرح تحقیقاتی" sheetId="18" r:id="rId9"/>
    <sheet name="کسب رتبه" sheetId="7" r:id="rId10"/>
    <sheet name="داوری " sheetId="8" r:id="rId11"/>
    <sheet name="پایان نامه ها" sheetId="2" r:id="rId12"/>
    <sheet name="برگزاری همایش" sheetId="20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3" l="1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J2" i="13"/>
  <c r="J3" i="13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H11" i="4" l="1"/>
  <c r="E6" i="20" l="1"/>
  <c r="E3" i="20"/>
  <c r="E4" i="20"/>
  <c r="E5" i="20"/>
  <c r="D2" i="20"/>
  <c r="E2" i="20" s="1"/>
  <c r="D3" i="20"/>
  <c r="D4" i="20"/>
  <c r="D5" i="20"/>
  <c r="D6" i="20"/>
  <c r="P2" i="17" l="1"/>
  <c r="O2" i="17"/>
  <c r="F24" i="16"/>
  <c r="E2" i="16"/>
  <c r="F2" i="16" s="1"/>
  <c r="G2" i="16" s="1"/>
  <c r="E3" i="16"/>
  <c r="F3" i="16" s="1"/>
  <c r="G3" i="16" s="1"/>
  <c r="E4" i="16"/>
  <c r="F4" i="16" s="1"/>
  <c r="G4" i="16" s="1"/>
  <c r="E5" i="16"/>
  <c r="F5" i="16" s="1"/>
  <c r="G5" i="16" s="1"/>
  <c r="E6" i="16"/>
  <c r="F6" i="16" s="1"/>
  <c r="G6" i="16" s="1"/>
  <c r="E7" i="16"/>
  <c r="F7" i="16" s="1"/>
  <c r="G7" i="16" s="1"/>
  <c r="E8" i="16"/>
  <c r="F8" i="16" s="1"/>
  <c r="G8" i="16" s="1"/>
  <c r="E9" i="16"/>
  <c r="F9" i="16" s="1"/>
  <c r="G9" i="16" s="1"/>
  <c r="E10" i="16"/>
  <c r="F10" i="16" s="1"/>
  <c r="G10" i="16" s="1"/>
  <c r="E11" i="16"/>
  <c r="F11" i="16" s="1"/>
  <c r="G11" i="16" s="1"/>
  <c r="E12" i="16"/>
  <c r="F12" i="16" s="1"/>
  <c r="G12" i="16" s="1"/>
  <c r="E13" i="16"/>
  <c r="F13" i="16" s="1"/>
  <c r="G13" i="16" s="1"/>
  <c r="E14" i="16"/>
  <c r="F14" i="16" s="1"/>
  <c r="G14" i="16" s="1"/>
  <c r="E15" i="16"/>
  <c r="F15" i="16" s="1"/>
  <c r="G15" i="16" s="1"/>
  <c r="E16" i="16"/>
  <c r="F16" i="16" s="1"/>
  <c r="G16" i="16" s="1"/>
  <c r="E17" i="16"/>
  <c r="F17" i="16" s="1"/>
  <c r="G17" i="16" s="1"/>
  <c r="E18" i="16"/>
  <c r="F18" i="16" s="1"/>
  <c r="G18" i="16" s="1"/>
  <c r="E19" i="16"/>
  <c r="F19" i="16" s="1"/>
  <c r="G19" i="16" s="1"/>
  <c r="E20" i="16"/>
  <c r="F20" i="16" s="1"/>
  <c r="G20" i="16" s="1"/>
  <c r="E21" i="16"/>
  <c r="F21" i="16" s="1"/>
  <c r="G21" i="16" s="1"/>
  <c r="E22" i="16"/>
  <c r="F22" i="16" s="1"/>
  <c r="G22" i="16" s="1"/>
  <c r="E23" i="16"/>
  <c r="F23" i="16" s="1"/>
  <c r="G23" i="16" s="1"/>
  <c r="E24" i="16"/>
  <c r="G24" i="16" l="1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G2" i="12"/>
  <c r="E2" i="12"/>
  <c r="D21" i="18" l="1"/>
  <c r="E2" i="2"/>
  <c r="E2" i="18"/>
  <c r="E4" i="18"/>
  <c r="E12" i="18"/>
  <c r="E20" i="18"/>
  <c r="D2" i="18"/>
  <c r="D3" i="18"/>
  <c r="E3" i="18" s="1"/>
  <c r="D4" i="18"/>
  <c r="D5" i="18"/>
  <c r="E5" i="18" s="1"/>
  <c r="D6" i="18"/>
  <c r="E6" i="18" s="1"/>
  <c r="D7" i="18"/>
  <c r="E7" i="18" s="1"/>
  <c r="D8" i="18"/>
  <c r="E8" i="18" s="1"/>
  <c r="D9" i="18"/>
  <c r="E9" i="18" s="1"/>
  <c r="D10" i="18"/>
  <c r="E10" i="18" s="1"/>
  <c r="D11" i="18"/>
  <c r="E11" i="18" s="1"/>
  <c r="D12" i="18"/>
  <c r="D13" i="18"/>
  <c r="E13" i="18" s="1"/>
  <c r="D14" i="18"/>
  <c r="E14" i="18" s="1"/>
  <c r="D15" i="18"/>
  <c r="E15" i="18" s="1"/>
  <c r="D16" i="18"/>
  <c r="E16" i="18" s="1"/>
  <c r="D17" i="18"/>
  <c r="E17" i="18" s="1"/>
  <c r="D18" i="18"/>
  <c r="E18" i="18" s="1"/>
  <c r="D19" i="18"/>
  <c r="E19" i="18" s="1"/>
  <c r="D20" i="18"/>
  <c r="E21" i="18" l="1"/>
  <c r="E6" i="8"/>
  <c r="E10" i="8"/>
  <c r="D2" i="8"/>
  <c r="E2" i="8" s="1"/>
  <c r="D3" i="8"/>
  <c r="E3" i="8" s="1"/>
  <c r="D4" i="8"/>
  <c r="E4" i="8" s="1"/>
  <c r="D5" i="8"/>
  <c r="E5" i="8" s="1"/>
  <c r="D6" i="8"/>
  <c r="D7" i="8"/>
  <c r="E7" i="8" s="1"/>
  <c r="D8" i="8"/>
  <c r="E8" i="8" s="1"/>
  <c r="D9" i="8"/>
  <c r="E9" i="8" s="1"/>
  <c r="D10" i="8"/>
  <c r="D11" i="8"/>
  <c r="E11" i="8" s="1"/>
  <c r="D12" i="8"/>
  <c r="E12" i="8" s="1"/>
  <c r="D13" i="8"/>
  <c r="E13" i="8" s="1"/>
  <c r="D14" i="8"/>
  <c r="E14" i="8" s="1"/>
  <c r="D15" i="8"/>
  <c r="E15" i="8" s="1"/>
  <c r="D16" i="8"/>
  <c r="E16" i="8" s="1"/>
  <c r="D17" i="8"/>
  <c r="E17" i="8" s="1"/>
  <c r="D18" i="8"/>
  <c r="E18" i="8" s="1"/>
  <c r="D19" i="8"/>
  <c r="J2" i="3"/>
  <c r="J3" i="3"/>
  <c r="J4" i="3"/>
  <c r="J5" i="3"/>
  <c r="J6" i="3"/>
  <c r="J7" i="3"/>
  <c r="J8" i="3"/>
  <c r="J9" i="3"/>
  <c r="J10" i="3"/>
  <c r="J11" i="3"/>
  <c r="J12" i="3"/>
  <c r="I2" i="3"/>
  <c r="K2" i="3" s="1"/>
  <c r="I3" i="3"/>
  <c r="K3" i="3" s="1"/>
  <c r="I4" i="3"/>
  <c r="K4" i="3" s="1"/>
  <c r="I5" i="3"/>
  <c r="K5" i="3" s="1"/>
  <c r="I6" i="3"/>
  <c r="K6" i="3" s="1"/>
  <c r="I7" i="3"/>
  <c r="K7" i="3" s="1"/>
  <c r="I8" i="3"/>
  <c r="K8" i="3" s="1"/>
  <c r="I9" i="3"/>
  <c r="K9" i="3" s="1"/>
  <c r="L9" i="3" s="1"/>
  <c r="M9" i="3" s="1"/>
  <c r="I10" i="3"/>
  <c r="K10" i="3" s="1"/>
  <c r="I11" i="3"/>
  <c r="K11" i="3" s="1"/>
  <c r="L11" i="3" s="1"/>
  <c r="I12" i="3"/>
  <c r="K12" i="3" s="1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H2" i="3"/>
  <c r="H3" i="3"/>
  <c r="H4" i="3"/>
  <c r="H5" i="3"/>
  <c r="H6" i="3"/>
  <c r="H7" i="3"/>
  <c r="H8" i="3"/>
  <c r="H9" i="3"/>
  <c r="H10" i="3"/>
  <c r="H11" i="3"/>
  <c r="H12" i="3"/>
  <c r="H12" i="1"/>
  <c r="I12" i="1" s="1"/>
  <c r="J12" i="1"/>
  <c r="K12" i="1"/>
  <c r="L12" i="1"/>
  <c r="M12" i="1" s="1"/>
  <c r="H13" i="1"/>
  <c r="I13" i="1" s="1"/>
  <c r="J13" i="1"/>
  <c r="K13" i="1"/>
  <c r="L13" i="1"/>
  <c r="M13" i="1" s="1"/>
  <c r="H14" i="1"/>
  <c r="I14" i="1" s="1"/>
  <c r="J14" i="1"/>
  <c r="K14" i="1"/>
  <c r="L14" i="1"/>
  <c r="M14" i="1" s="1"/>
  <c r="H15" i="1"/>
  <c r="I15" i="1" s="1"/>
  <c r="N15" i="1" s="1"/>
  <c r="J15" i="1"/>
  <c r="K15" i="1"/>
  <c r="L15" i="1"/>
  <c r="M15" i="1"/>
  <c r="H16" i="1"/>
  <c r="I16" i="1" s="1"/>
  <c r="J16" i="1"/>
  <c r="K16" i="1"/>
  <c r="L16" i="1"/>
  <c r="M16" i="1" s="1"/>
  <c r="H17" i="1"/>
  <c r="I17" i="1" s="1"/>
  <c r="J17" i="1"/>
  <c r="K17" i="1"/>
  <c r="L17" i="1"/>
  <c r="M17" i="1" s="1"/>
  <c r="H18" i="1"/>
  <c r="I18" i="1" s="1"/>
  <c r="J18" i="1"/>
  <c r="K18" i="1"/>
  <c r="L18" i="1"/>
  <c r="M18" i="1" s="1"/>
  <c r="H19" i="1"/>
  <c r="I19" i="1"/>
  <c r="J19" i="1"/>
  <c r="K19" i="1"/>
  <c r="L19" i="1"/>
  <c r="M19" i="1"/>
  <c r="N19" i="1" s="1"/>
  <c r="H20" i="1"/>
  <c r="I20" i="1" s="1"/>
  <c r="J20" i="1"/>
  <c r="K20" i="1"/>
  <c r="L20" i="1"/>
  <c r="M20" i="1" s="1"/>
  <c r="H21" i="1"/>
  <c r="I21" i="1" s="1"/>
  <c r="J21" i="1"/>
  <c r="K21" i="1"/>
  <c r="L21" i="1"/>
  <c r="M21" i="1" s="1"/>
  <c r="H22" i="1"/>
  <c r="I22" i="1" s="1"/>
  <c r="J22" i="1"/>
  <c r="K22" i="1"/>
  <c r="L22" i="1"/>
  <c r="M22" i="1" s="1"/>
  <c r="H23" i="1"/>
  <c r="I23" i="1" s="1"/>
  <c r="J23" i="1"/>
  <c r="K23" i="1"/>
  <c r="L23" i="1"/>
  <c r="M23" i="1" s="1"/>
  <c r="H24" i="1"/>
  <c r="I24" i="1" s="1"/>
  <c r="J24" i="1"/>
  <c r="K24" i="1"/>
  <c r="L24" i="1"/>
  <c r="M24" i="1" s="1"/>
  <c r="H25" i="1"/>
  <c r="I25" i="1" s="1"/>
  <c r="J25" i="1"/>
  <c r="K25" i="1"/>
  <c r="L25" i="1"/>
  <c r="M25" i="1" s="1"/>
  <c r="H26" i="1"/>
  <c r="I26" i="1"/>
  <c r="J26" i="1"/>
  <c r="K26" i="1"/>
  <c r="L26" i="1"/>
  <c r="M26" i="1"/>
  <c r="N26" i="1" s="1"/>
  <c r="H3" i="1"/>
  <c r="I3" i="1" s="1"/>
  <c r="J3" i="1"/>
  <c r="K3" i="1"/>
  <c r="L3" i="1"/>
  <c r="M3" i="1"/>
  <c r="H4" i="1"/>
  <c r="I4" i="1" s="1"/>
  <c r="J4" i="1"/>
  <c r="K4" i="1"/>
  <c r="L4" i="1"/>
  <c r="M4" i="1" s="1"/>
  <c r="H5" i="1"/>
  <c r="I5" i="1" s="1"/>
  <c r="J5" i="1"/>
  <c r="K5" i="1"/>
  <c r="L5" i="1"/>
  <c r="M5" i="1" s="1"/>
  <c r="H6" i="1"/>
  <c r="I6" i="1" s="1"/>
  <c r="J6" i="1"/>
  <c r="K6" i="1"/>
  <c r="L6" i="1"/>
  <c r="M6" i="1" s="1"/>
  <c r="H7" i="1"/>
  <c r="I7" i="1" s="1"/>
  <c r="J7" i="1"/>
  <c r="K7" i="1"/>
  <c r="L7" i="1"/>
  <c r="M7" i="1" s="1"/>
  <c r="H8" i="1"/>
  <c r="I8" i="1" s="1"/>
  <c r="J8" i="1"/>
  <c r="K8" i="1"/>
  <c r="L8" i="1"/>
  <c r="M8" i="1"/>
  <c r="H9" i="1"/>
  <c r="I9" i="1" s="1"/>
  <c r="J9" i="1"/>
  <c r="K9" i="1"/>
  <c r="L9" i="1"/>
  <c r="M9" i="1" s="1"/>
  <c r="H10" i="1"/>
  <c r="I10" i="1" s="1"/>
  <c r="J10" i="1"/>
  <c r="K10" i="1"/>
  <c r="L10" i="1"/>
  <c r="M10" i="1" s="1"/>
  <c r="H11" i="1"/>
  <c r="I11" i="1" s="1"/>
  <c r="J11" i="1"/>
  <c r="K11" i="1"/>
  <c r="L11" i="1"/>
  <c r="M11" i="1" s="1"/>
  <c r="L12" i="3" l="1"/>
  <c r="L8" i="3"/>
  <c r="M8" i="3" s="1"/>
  <c r="L4" i="3"/>
  <c r="M4" i="3" s="1"/>
  <c r="L10" i="3"/>
  <c r="M10" i="3" s="1"/>
  <c r="L6" i="3"/>
  <c r="M6" i="3" s="1"/>
  <c r="L5" i="3"/>
  <c r="M5" i="3" s="1"/>
  <c r="L7" i="3"/>
  <c r="M7" i="3" s="1"/>
  <c r="L3" i="3"/>
  <c r="M3" i="3" s="1"/>
  <c r="E19" i="8"/>
  <c r="N8" i="1"/>
  <c r="N22" i="1"/>
  <c r="N23" i="1"/>
  <c r="N11" i="1"/>
  <c r="N7" i="1"/>
  <c r="N4" i="1"/>
  <c r="N3" i="1"/>
  <c r="N25" i="1"/>
  <c r="N24" i="1"/>
  <c r="L2" i="3"/>
  <c r="M2" i="3" s="1"/>
  <c r="M12" i="3" s="1"/>
  <c r="N5" i="1"/>
  <c r="N6" i="1"/>
  <c r="N10" i="1"/>
  <c r="N17" i="1"/>
  <c r="N16" i="1"/>
  <c r="N13" i="1"/>
  <c r="N12" i="1"/>
  <c r="N18" i="1"/>
  <c r="N20" i="1"/>
  <c r="N14" i="1"/>
  <c r="N21" i="1"/>
  <c r="N9" i="1"/>
  <c r="J2" i="17"/>
  <c r="I2" i="17"/>
  <c r="I2" i="13"/>
  <c r="I3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H2" i="13"/>
  <c r="H3" i="13"/>
  <c r="H4" i="13"/>
  <c r="K4" i="13" s="1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K3" i="13" l="1"/>
  <c r="K2" i="13"/>
  <c r="L9" i="13"/>
  <c r="L8" i="13"/>
  <c r="L7" i="13"/>
  <c r="L6" i="13"/>
  <c r="Q2" i="17"/>
  <c r="L5" i="13"/>
  <c r="L4" i="13"/>
  <c r="L2" i="13"/>
  <c r="L3" i="13"/>
  <c r="L25" i="13" l="1"/>
  <c r="F2" i="12" s="1"/>
  <c r="E4" i="4"/>
  <c r="F4" i="4" s="1"/>
  <c r="G4" i="4" s="1"/>
  <c r="H4" i="4" s="1"/>
  <c r="E5" i="4"/>
  <c r="F5" i="4" s="1"/>
  <c r="G5" i="4" s="1"/>
  <c r="H5" i="4" s="1"/>
  <c r="E6" i="4"/>
  <c r="F6" i="4" s="1"/>
  <c r="G6" i="4" s="1"/>
  <c r="H6" i="4" s="1"/>
  <c r="E7" i="4"/>
  <c r="F7" i="4" s="1"/>
  <c r="G7" i="4" s="1"/>
  <c r="H7" i="4" s="1"/>
  <c r="E8" i="4"/>
  <c r="F8" i="4" s="1"/>
  <c r="G8" i="4" s="1"/>
  <c r="H8" i="4" s="1"/>
  <c r="E9" i="4"/>
  <c r="F9" i="4" s="1"/>
  <c r="G9" i="4" s="1"/>
  <c r="H9" i="4" s="1"/>
  <c r="E10" i="4"/>
  <c r="F10" i="4" s="1"/>
  <c r="G10" i="4" s="1"/>
  <c r="H10" i="4" s="1"/>
  <c r="E3" i="4"/>
  <c r="F3" i="4" s="1"/>
  <c r="G3" i="4" s="1"/>
  <c r="H3" i="4" s="1"/>
  <c r="E3" i="2"/>
  <c r="F3" i="2" s="1"/>
  <c r="F2" i="2"/>
  <c r="E4" i="2"/>
  <c r="F4" i="2" s="1"/>
  <c r="E5" i="2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E12" i="2"/>
  <c r="F12" i="2" l="1"/>
  <c r="F11" i="2"/>
  <c r="K27" i="1"/>
  <c r="L2" i="1"/>
  <c r="M2" i="1" s="1"/>
  <c r="L27" i="1"/>
  <c r="M27" i="1" s="1"/>
  <c r="H2" i="1" l="1"/>
  <c r="I2" i="1" s="1"/>
  <c r="J2" i="1"/>
  <c r="N2" i="1" l="1"/>
  <c r="O2" i="1" s="1"/>
  <c r="O12" i="1"/>
  <c r="O4" i="1"/>
  <c r="O8" i="1"/>
  <c r="O7" i="1"/>
  <c r="O11" i="1"/>
  <c r="O9" i="1"/>
  <c r="O6" i="1"/>
  <c r="O5" i="1"/>
  <c r="O3" i="1" l="1"/>
  <c r="H27" i="1" l="1"/>
  <c r="I27" i="1" s="1"/>
  <c r="N27" i="1" s="1"/>
  <c r="J27" i="1"/>
  <c r="E2" i="7"/>
  <c r="F2" i="7" s="1"/>
  <c r="E3" i="7"/>
  <c r="F3" i="7" s="1"/>
  <c r="E4" i="7"/>
  <c r="F4" i="7" s="1"/>
  <c r="E5" i="7"/>
  <c r="F5" i="7" s="1"/>
  <c r="E6" i="7"/>
  <c r="F6" i="7" s="1"/>
  <c r="E7" i="7"/>
  <c r="F7" i="7" s="1"/>
  <c r="E8" i="7"/>
  <c r="F8" i="7" s="1"/>
  <c r="E9" i="7"/>
  <c r="F9" i="7" s="1"/>
  <c r="E10" i="7"/>
  <c r="F10" i="7" s="1"/>
  <c r="E12" i="4"/>
  <c r="F12" i="4" s="1"/>
  <c r="G12" i="4" s="1"/>
  <c r="E2" i="4"/>
  <c r="E11" i="4"/>
  <c r="F11" i="4" s="1"/>
  <c r="G11" i="4" s="1"/>
  <c r="O21" i="1" l="1"/>
  <c r="O26" i="1"/>
  <c r="O22" i="1"/>
  <c r="O25" i="1"/>
  <c r="F11" i="7"/>
  <c r="F2" i="4"/>
  <c r="G2" i="4" s="1"/>
  <c r="O24" i="1"/>
  <c r="O23" i="1"/>
  <c r="M11" i="3"/>
  <c r="AF21" i="1"/>
  <c r="AF12" i="1"/>
  <c r="AF13" i="1"/>
  <c r="AF14" i="1"/>
  <c r="AF15" i="1"/>
  <c r="AF16" i="1"/>
  <c r="AF17" i="1"/>
  <c r="AF18" i="1"/>
  <c r="AF19" i="1"/>
  <c r="AF20" i="1"/>
  <c r="AF9" i="1"/>
  <c r="K2" i="1" s="1"/>
  <c r="AF10" i="1"/>
  <c r="AF11" i="1"/>
  <c r="AF8" i="1"/>
  <c r="AB11" i="1"/>
  <c r="AB7" i="1"/>
  <c r="AB8" i="1"/>
  <c r="AB6" i="1"/>
  <c r="O14" i="1" l="1"/>
  <c r="O15" i="1"/>
  <c r="O13" i="1"/>
  <c r="H2" i="4"/>
  <c r="H12" i="4" s="1"/>
  <c r="J2" i="12" s="1"/>
  <c r="O18" i="1"/>
  <c r="O20" i="1"/>
  <c r="O16" i="1"/>
  <c r="O19" i="1"/>
  <c r="O17" i="1"/>
  <c r="O27" i="1" l="1"/>
  <c r="H2" i="12" s="1"/>
  <c r="I2" i="12" l="1"/>
</calcChain>
</file>

<file path=xl/sharedStrings.xml><?xml version="1.0" encoding="utf-8"?>
<sst xmlns="http://schemas.openxmlformats.org/spreadsheetml/2006/main" count="266" uniqueCount="203">
  <si>
    <t>عنوان مقاله</t>
  </si>
  <si>
    <t>عنوان مجله</t>
  </si>
  <si>
    <t>نوع مقاله</t>
  </si>
  <si>
    <t>ایندکس</t>
  </si>
  <si>
    <t xml:space="preserve">نوع مشارکت </t>
  </si>
  <si>
    <t>ردیف</t>
  </si>
  <si>
    <t xml:space="preserve"> Index Medicus</t>
  </si>
  <si>
    <t>Medline</t>
  </si>
  <si>
    <t>PubMed</t>
  </si>
  <si>
    <t xml:space="preserve"> Chemical Abstract</t>
  </si>
  <si>
    <t>Embase</t>
  </si>
  <si>
    <t xml:space="preserve"> Biological Abstrac</t>
  </si>
  <si>
    <t>Scopus</t>
  </si>
  <si>
    <t>امتیاز</t>
  </si>
  <si>
    <t>Original article</t>
  </si>
  <si>
    <t>Narrative Review</t>
  </si>
  <si>
    <t xml:space="preserve">Systematic review </t>
  </si>
  <si>
    <t xml:space="preserve">Meta-analysis </t>
  </si>
  <si>
    <t>Short communication</t>
  </si>
  <si>
    <t>Brief communication</t>
  </si>
  <si>
    <r>
      <rPr>
        <sz val="12"/>
        <color theme="1"/>
        <rFont val="Times New Roman"/>
        <family val="1"/>
      </rPr>
      <t xml:space="preserve"> Rapid communication </t>
    </r>
    <r>
      <rPr>
        <sz val="14"/>
        <color theme="1"/>
        <rFont val="B Nazanin"/>
        <charset val="178"/>
      </rPr>
      <t xml:space="preserve"> </t>
    </r>
  </si>
  <si>
    <r>
      <t xml:space="preserve"> </t>
    </r>
    <r>
      <rPr>
        <sz val="12"/>
        <color theme="1"/>
        <rFont val="Times New Roman"/>
        <family val="1"/>
      </rPr>
      <t>Research letter</t>
    </r>
    <r>
      <rPr>
        <sz val="14"/>
        <color theme="1"/>
        <rFont val="B Nazanin"/>
        <charset val="178"/>
      </rPr>
      <t xml:space="preserve"> </t>
    </r>
  </si>
  <si>
    <t xml:space="preserve">  Case report</t>
  </si>
  <si>
    <r>
      <t>Letter to editor</t>
    </r>
    <r>
      <rPr>
        <sz val="14"/>
        <color theme="1"/>
        <rFont val="B Nazanin"/>
        <charset val="178"/>
      </rPr>
      <t xml:space="preserve"> </t>
    </r>
  </si>
  <si>
    <t>ISC</t>
  </si>
  <si>
    <t>علمی- پژوهشی</t>
  </si>
  <si>
    <t xml:space="preserve">نوع مقاله </t>
  </si>
  <si>
    <t>تعداد نویسندگان</t>
  </si>
  <si>
    <t>نوع مشارکت</t>
  </si>
  <si>
    <t>تعداد نویسنده</t>
  </si>
  <si>
    <t xml:space="preserve">نویسنده مسوول یا نویسنده اول </t>
  </si>
  <si>
    <t>سایر</t>
  </si>
  <si>
    <t>امتیاز پایه</t>
  </si>
  <si>
    <t>ضریب  نوع مقاله</t>
  </si>
  <si>
    <t xml:space="preserve"> امتیاز کل</t>
  </si>
  <si>
    <t>امتیاز اولیه</t>
  </si>
  <si>
    <t xml:space="preserve"> </t>
  </si>
  <si>
    <t>Q2</t>
  </si>
  <si>
    <t>Q3</t>
  </si>
  <si>
    <t>Q4</t>
  </si>
  <si>
    <t>امتیاز نهایی</t>
  </si>
  <si>
    <t>لینک مقاله</t>
  </si>
  <si>
    <t xml:space="preserve">عنوان پایان نامه </t>
  </si>
  <si>
    <t xml:space="preserve"> امتیاز نهایی</t>
  </si>
  <si>
    <t>جمع</t>
  </si>
  <si>
    <t>جمع نهایی</t>
  </si>
  <si>
    <t>لینک مستندات</t>
  </si>
  <si>
    <t>نوع ارائه</t>
  </si>
  <si>
    <t>امتياز</t>
  </si>
  <si>
    <t xml:space="preserve"> نوع ارائه </t>
  </si>
  <si>
    <t xml:space="preserve">امتیاز </t>
  </si>
  <si>
    <t xml:space="preserve"> لینک مستندات</t>
  </si>
  <si>
    <t>عنوان ارائه</t>
  </si>
  <si>
    <t>نام کنگره</t>
  </si>
  <si>
    <t>محل برگزاری</t>
  </si>
  <si>
    <t xml:space="preserve">نام کتاب </t>
  </si>
  <si>
    <t>تعداد صفحه</t>
  </si>
  <si>
    <t>ضریب تعداد صفحات</t>
  </si>
  <si>
    <t>امتیاز کل بعد از اعمال شرط سقف</t>
  </si>
  <si>
    <t xml:space="preserve"> امتیاز</t>
  </si>
  <si>
    <t>نفر اول جشنواره رازي یا خوارزمي</t>
  </si>
  <si>
    <t>نفر دوم جشنواره رازي یا خوارزمي</t>
  </si>
  <si>
    <t>نفر سوم جشنواره رازي یا خوارزمي</t>
  </si>
  <si>
    <t xml:space="preserve">ردیف </t>
  </si>
  <si>
    <t>عنوان جشنواره</t>
  </si>
  <si>
    <t xml:space="preserve"> عنوان رتبه </t>
  </si>
  <si>
    <t xml:space="preserve"> مستندات </t>
  </si>
  <si>
    <t>رتبه بین المللی</t>
  </si>
  <si>
    <t xml:space="preserve">نام </t>
  </si>
  <si>
    <t>نام خانوادگی</t>
  </si>
  <si>
    <t xml:space="preserve">جمع کل مقالات </t>
  </si>
  <si>
    <t xml:space="preserve">  دبیر علمی منطقه ايي  دو روز و کمتر </t>
  </si>
  <si>
    <t xml:space="preserve">  دبیر علمی سراسریدو روز و کمتر</t>
  </si>
  <si>
    <t>خیر</t>
  </si>
  <si>
    <t>مستند</t>
  </si>
  <si>
    <t>Q1</t>
  </si>
  <si>
    <t>ضریب نویسنده همکار</t>
  </si>
  <si>
    <t>ضریب نویسنده مسسوول</t>
  </si>
  <si>
    <t>ضریب نویسنده</t>
  </si>
  <si>
    <t>دانشگاه محل تحصیل دانشجو</t>
  </si>
  <si>
    <t>تاليف کامل یا بخشی از کتاب</t>
  </si>
  <si>
    <t>ترجمه کامل یا بخشی از کتاب</t>
  </si>
  <si>
    <t>ویراستاری کامل یا از کتاب</t>
  </si>
  <si>
    <t>تجدید چاپ</t>
  </si>
  <si>
    <t>نقش پزوهشگر</t>
  </si>
  <si>
    <t>نفر اول جشنواره شهید مطهری</t>
  </si>
  <si>
    <t>نفر دوم جشنواره شهید مطهری</t>
  </si>
  <si>
    <t>نفر سوم جشنواره شهید مطهری</t>
  </si>
  <si>
    <t xml:space="preserve">نام واحد درسی </t>
  </si>
  <si>
    <t>تعداد واحد</t>
  </si>
  <si>
    <t xml:space="preserve">نیمسال </t>
  </si>
  <si>
    <t>وضعیت واحد</t>
  </si>
  <si>
    <t>تدریس برای اولین بار</t>
  </si>
  <si>
    <t>تدریس تکراری در نیمسال</t>
  </si>
  <si>
    <t>تدریس تکراری در طول مرتبه علمی فعلی</t>
  </si>
  <si>
    <t>تدریس مشترک</t>
  </si>
  <si>
    <t xml:space="preserve">امتیاز وضعیت </t>
  </si>
  <si>
    <t>مقطع</t>
  </si>
  <si>
    <t>کارشناسی یا کاردانی</t>
  </si>
  <si>
    <t>کارشناسی ارشد یا دکتری حرفه ای</t>
  </si>
  <si>
    <t>Ph.D</t>
  </si>
  <si>
    <t>امتیاز مقطع</t>
  </si>
  <si>
    <t>نیمسال</t>
  </si>
  <si>
    <t>نام درس</t>
  </si>
  <si>
    <t>مستندات (نامه تایید مدیر محترم EDC)</t>
  </si>
  <si>
    <t xml:space="preserve">عضویت درکمیته  تحول و نوآوری </t>
  </si>
  <si>
    <t>تعداد کار گاه های اموزشی و پژوهشی و توانمند سازی</t>
  </si>
  <si>
    <t>بلی</t>
  </si>
  <si>
    <t>شرکت در گزارش صبحگاهی</t>
  </si>
  <si>
    <t>تعداد راند آموزشی</t>
  </si>
  <si>
    <t>ارائه کنفرانس آموزشی</t>
  </si>
  <si>
    <t>شرکت درکنفرانس آموزشی</t>
  </si>
  <si>
    <t>ارائه ژورنال کلاب</t>
  </si>
  <si>
    <t>شرکت در ژورنال کلاب</t>
  </si>
  <si>
    <t xml:space="preserve">امتیاز عضویت درکمیته  تحول و نوآوری </t>
  </si>
  <si>
    <t>امتیاز کار گاه های اموزشی و پژوهشی و توانمند سازی</t>
  </si>
  <si>
    <t>امتیازشرکت در گزارش صبحگاهی</t>
  </si>
  <si>
    <t>امتیاز راند آموزشی</t>
  </si>
  <si>
    <t>امتیازارائه کنفرانس آموزشی</t>
  </si>
  <si>
    <t>امتیازشرکت درکنفرانس آموزشی</t>
  </si>
  <si>
    <t>امتیازارائه ژورنال کلاب</t>
  </si>
  <si>
    <t>امتیازشرکت در ژورنال کلاب</t>
  </si>
  <si>
    <t>ISI &amp; Q1</t>
  </si>
  <si>
    <t>ISI &amp; &gt; Q1</t>
  </si>
  <si>
    <t>علمی- ترویجی</t>
  </si>
  <si>
    <t>سخنراني داخلی</t>
  </si>
  <si>
    <t>سخنراني خارجی</t>
  </si>
  <si>
    <t>پوسترخارجی</t>
  </si>
  <si>
    <t xml:space="preserve">پوسترداخلی </t>
  </si>
  <si>
    <t>پوستر و سخنران مدعو و ISI proceeding</t>
  </si>
  <si>
    <t>نقش پژوهشگر</t>
  </si>
  <si>
    <t xml:space="preserve">تعداد نویسندگان </t>
  </si>
  <si>
    <t xml:space="preserve">ارائه دهنده یا نویسنده اول </t>
  </si>
  <si>
    <t xml:space="preserve">امتیاز پایه </t>
  </si>
  <si>
    <t xml:space="preserve">ضریب ارائه دهنده یا نویسنده اول </t>
  </si>
  <si>
    <t xml:space="preserve">ضریب همکار </t>
  </si>
  <si>
    <t>ضریب نهایی نویسنده</t>
  </si>
  <si>
    <t xml:space="preserve">عنوان داوری شده </t>
  </si>
  <si>
    <t xml:space="preserve">نوع داوری </t>
  </si>
  <si>
    <t>مقاله خارجی</t>
  </si>
  <si>
    <t>مقاله داخلی</t>
  </si>
  <si>
    <t>پروپوزال و پایان نامه</t>
  </si>
  <si>
    <t>گزارش نهایی طرح تحقیقاتی</t>
  </si>
  <si>
    <t>کتاب تالیفی</t>
  </si>
  <si>
    <t>کتاب ترجمه</t>
  </si>
  <si>
    <t>داوری چکیده مقالات</t>
  </si>
  <si>
    <t>عنوان طرح</t>
  </si>
  <si>
    <t xml:space="preserve">نوع همکاری </t>
  </si>
  <si>
    <t>مچری طرح مصوب</t>
  </si>
  <si>
    <t>مجری خاتمه یافته</t>
  </si>
  <si>
    <t>همکار طرح مصوب</t>
  </si>
  <si>
    <t>همکار طرح خاتمه یافته</t>
  </si>
  <si>
    <t>راهنما دوره دكتراي عمومي گروه پزشكي</t>
  </si>
  <si>
    <t>راهنما دوره كارشناسي ارشد و داروسازي</t>
  </si>
  <si>
    <t xml:space="preserve"> راهنما دوره هاي تخصصي </t>
  </si>
  <si>
    <r>
      <t xml:space="preserve"> ،دوره دكتری تخصصی </t>
    </r>
    <r>
      <rPr>
        <sz val="11"/>
        <color theme="1"/>
        <rFont val="Times New Roman"/>
        <family val="1"/>
      </rPr>
      <t>Ph.D. راهنما</t>
    </r>
  </si>
  <si>
    <t>مشاور دوره دكتراي عمومي گروه پزشكي</t>
  </si>
  <si>
    <t>مشاور دوره كارشناسي ارشد و داروسازي</t>
  </si>
  <si>
    <t xml:space="preserve"> مشاور دوره هاي تخصصي </t>
  </si>
  <si>
    <r>
      <t xml:space="preserve"> ،دوره دكتری تخصصی </t>
    </r>
    <r>
      <rPr>
        <sz val="11"/>
        <color theme="1"/>
        <rFont val="Times New Roman"/>
        <family val="1"/>
      </rPr>
      <t>Ph.D. مشاور</t>
    </r>
  </si>
  <si>
    <t xml:space="preserve"> نقش  پژوهشگر و مقطع دانشجو</t>
  </si>
  <si>
    <t>راهنما پروژه کارشناسی</t>
  </si>
  <si>
    <t>پایه قبلی</t>
  </si>
  <si>
    <t>رتبه علمی</t>
  </si>
  <si>
    <t xml:space="preserve">جمع امتیازت آموزشی </t>
  </si>
  <si>
    <t>جمع امتیازت پژوهشی فعلی</t>
  </si>
  <si>
    <t>امتیاز حاصل از مقاله</t>
  </si>
  <si>
    <t>امتیاز حاصل از سایر فعالیت های پژوهشی</t>
  </si>
  <si>
    <t>امتیاز ذخیره برای یکسال بعد</t>
  </si>
  <si>
    <t>امتیاز ذخیره برای دو سال بعد</t>
  </si>
  <si>
    <t>امتیاز ذخیره برای سه سال بعد</t>
  </si>
  <si>
    <t>مطابق نامه سال قبل مدیر محترم امور هیات علمی</t>
  </si>
  <si>
    <t>جمع کل</t>
  </si>
  <si>
    <t>مربی</t>
  </si>
  <si>
    <t>استادیار پژوهشی</t>
  </si>
  <si>
    <t>دانشیار آموزشی</t>
  </si>
  <si>
    <t>استادیارآموزشی</t>
  </si>
  <si>
    <t>دانشیار پژوهشی</t>
  </si>
  <si>
    <t>استاد آموزشی</t>
  </si>
  <si>
    <t>استاد پژوهشی</t>
  </si>
  <si>
    <t xml:space="preserve">حداقل امتیاز آموزشی موردنیاز </t>
  </si>
  <si>
    <t xml:space="preserve">حداقل امتیاز پژوهشی موردنیاز </t>
  </si>
  <si>
    <t>رشته</t>
  </si>
  <si>
    <t>ضریب ارزیابی</t>
  </si>
  <si>
    <t>امتیاز کسب شده توسط هیات علمی</t>
  </si>
  <si>
    <t>بالای 80</t>
  </si>
  <si>
    <t>60- 80</t>
  </si>
  <si>
    <t>40- 60</t>
  </si>
  <si>
    <t>20-40</t>
  </si>
  <si>
    <t>زیر 20</t>
  </si>
  <si>
    <t>امتیاز کسب شده</t>
  </si>
  <si>
    <t>امتیاز از مقاله</t>
  </si>
  <si>
    <t>امتیاز از سایر فعالیت ها</t>
  </si>
  <si>
    <t xml:space="preserve"> عنوان کنگره یا همایش</t>
  </si>
  <si>
    <t>نقش</t>
  </si>
  <si>
    <t>دبیر علمی</t>
  </si>
  <si>
    <t xml:space="preserve">دبیر اجرایی </t>
  </si>
  <si>
    <t>عضو کمیته علمی</t>
  </si>
  <si>
    <t>عضو کمیته اجرایی</t>
  </si>
  <si>
    <t xml:space="preserve"> نوع واحد</t>
  </si>
  <si>
    <t>نظری</t>
  </si>
  <si>
    <t>عملی</t>
  </si>
  <si>
    <t>امتیاز نوع واحد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</si>
</sst>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78"/>
      <scheme val="minor"/>
    </font>
    <font>
      <sz val="12"/>
      <color theme="1"/>
      <name val="Times New Roman"/>
      <family val="1"/>
    </font>
    <font>
      <sz val="14"/>
      <color theme="1"/>
      <name val="B Nazanin"/>
      <charset val="178"/>
    </font>
    <font>
      <sz val="12"/>
      <color theme="1"/>
      <name val="B Nazanin"/>
      <charset val="178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theme="1"/>
      <name val="B Zar"/>
      <charset val="178"/>
    </font>
    <font>
      <u/>
      <sz val="11"/>
      <color theme="10"/>
      <name val="Calibri"/>
      <family val="2"/>
      <charset val="178"/>
      <scheme val="minor"/>
    </font>
    <font>
      <sz val="10"/>
      <color rgb="FF222222"/>
      <name val="Calibri"/>
      <family val="2"/>
      <scheme val="minor"/>
    </font>
    <font>
      <sz val="10"/>
      <color rgb="FF77777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99F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CC99FF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3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center" wrapText="1" readingOrder="2"/>
      <protection locked="0"/>
    </xf>
    <xf numFmtId="0" fontId="3" fillId="0" borderId="6" xfId="0" applyFont="1" applyBorder="1" applyAlignment="1" applyProtection="1">
      <alignment horizontal="center" vertical="center" wrapText="1" readingOrder="2"/>
      <protection locked="0"/>
    </xf>
    <xf numFmtId="0" fontId="3" fillId="0" borderId="8" xfId="0" applyFont="1" applyBorder="1" applyAlignment="1" applyProtection="1">
      <alignment horizontal="right" vertical="center" wrapText="1" readingOrder="2"/>
      <protection locked="0"/>
    </xf>
    <xf numFmtId="0" fontId="3" fillId="0" borderId="8" xfId="0" applyFont="1" applyBorder="1" applyAlignment="1" applyProtection="1">
      <alignment horizontal="center" vertical="center" wrapText="1" readingOrder="2"/>
      <protection locked="0"/>
    </xf>
    <xf numFmtId="0" fontId="3" fillId="0" borderId="3" xfId="0" applyFont="1" applyBorder="1" applyAlignment="1" applyProtection="1">
      <alignment horizontal="right" vertical="center" wrapText="1" readingOrder="2"/>
      <protection locked="0"/>
    </xf>
    <xf numFmtId="0" fontId="3" fillId="0" borderId="8" xfId="0" applyFont="1" applyBorder="1" applyAlignment="1" applyProtection="1">
      <alignment horizontal="justify" vertical="center" wrapText="1" readingOrder="2"/>
      <protection locked="0"/>
    </xf>
    <xf numFmtId="0" fontId="3" fillId="0" borderId="2" xfId="0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5" fillId="0" borderId="12" xfId="0" applyFon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6" xfId="0" applyBorder="1" applyProtection="1">
      <protection locked="0"/>
    </xf>
    <xf numFmtId="0" fontId="7" fillId="0" borderId="17" xfId="1" applyNumberFormat="1" applyBorder="1" applyProtection="1">
      <protection locked="0"/>
    </xf>
    <xf numFmtId="0" fontId="0" fillId="0" borderId="17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NumberFormat="1" applyBorder="1" applyProtection="1">
      <protection locked="0"/>
    </xf>
    <xf numFmtId="0" fontId="0" fillId="0" borderId="12" xfId="0" applyNumberFormat="1" applyBorder="1" applyProtection="1">
      <protection locked="0"/>
    </xf>
    <xf numFmtId="0" fontId="8" fillId="0" borderId="12" xfId="0" applyFont="1" applyBorder="1" applyProtection="1">
      <protection locked="0"/>
    </xf>
    <xf numFmtId="0" fontId="9" fillId="0" borderId="12" xfId="0" applyFont="1" applyBorder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12" xfId="0" applyBorder="1" applyProtection="1">
      <protection hidden="1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2" xfId="0" applyNumberFormat="1" applyBorder="1" applyProtection="1">
      <protection hidden="1"/>
    </xf>
    <xf numFmtId="0" fontId="0" fillId="0" borderId="0" xfId="0" applyProtection="1">
      <protection hidden="1"/>
    </xf>
    <xf numFmtId="0" fontId="0" fillId="0" borderId="19" xfId="0" applyNumberFormat="1" applyBorder="1" applyProtection="1">
      <protection hidden="1"/>
    </xf>
    <xf numFmtId="0" fontId="0" fillId="0" borderId="19" xfId="0" applyBorder="1" applyProtection="1">
      <protection hidden="1"/>
    </xf>
    <xf numFmtId="0" fontId="2" fillId="2" borderId="5" xfId="0" applyFont="1" applyFill="1" applyBorder="1" applyAlignment="1" applyProtection="1">
      <alignment horizontal="justify" vertical="center" wrapText="1" readingOrder="2"/>
      <protection locked="0"/>
    </xf>
    <xf numFmtId="0" fontId="2" fillId="2" borderId="6" xfId="0" applyFont="1" applyFill="1" applyBorder="1" applyAlignment="1" applyProtection="1">
      <alignment horizontal="justify" vertical="center" wrapText="1" readingOrder="2"/>
      <protection locked="0"/>
    </xf>
    <xf numFmtId="0" fontId="2" fillId="0" borderId="7" xfId="0" applyFont="1" applyBorder="1" applyAlignment="1" applyProtection="1">
      <alignment horizontal="justify" vertical="center" wrapText="1" readingOrder="2"/>
      <protection locked="0"/>
    </xf>
    <xf numFmtId="0" fontId="2" fillId="0" borderId="8" xfId="0" applyFont="1" applyBorder="1" applyAlignment="1" applyProtection="1">
      <alignment horizontal="justify" vertical="center" wrapText="1" readingOrder="2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justify" vertical="center" wrapText="1" readingOrder="2"/>
      <protection locked="0"/>
    </xf>
    <xf numFmtId="0" fontId="3" fillId="0" borderId="6" xfId="0" applyFont="1" applyBorder="1" applyAlignment="1" applyProtection="1">
      <alignment horizontal="justify" vertical="center" wrapText="1" readingOrder="2"/>
      <protection locked="0"/>
    </xf>
    <xf numFmtId="0" fontId="3" fillId="0" borderId="3" xfId="0" applyFont="1" applyBorder="1" applyAlignment="1" applyProtection="1">
      <alignment horizontal="justify" vertical="center" wrapText="1" readingOrder="2"/>
      <protection locked="0"/>
    </xf>
    <xf numFmtId="0" fontId="3" fillId="0" borderId="9" xfId="0" applyFont="1" applyFill="1" applyBorder="1" applyAlignment="1" applyProtection="1">
      <alignment horizontal="justify" vertical="center" wrapText="1" readingOrder="2"/>
      <protection locked="0"/>
    </xf>
    <xf numFmtId="0" fontId="3" fillId="0" borderId="10" xfId="0" applyFont="1" applyFill="1" applyBorder="1" applyAlignment="1" applyProtection="1">
      <alignment horizontal="justify" vertical="center" wrapText="1" readingOrder="2"/>
      <protection locked="0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NumberFormat="1" applyBorder="1" applyAlignment="1" applyProtection="1">
      <alignment horizontal="center"/>
      <protection hidden="1"/>
    </xf>
    <xf numFmtId="0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</cellXfs>
  <cellStyles count="2">
    <cellStyle name="Hyperlink" xfId="1" builtinId="8"/>
    <cellStyle name="Normal" xfId="0" builtinId="0"/>
  </cellStyles>
  <dxfs count="112"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0" formatCode="General"/>
      <protection locked="1" hidden="1"/>
    </dxf>
    <dxf>
      <numFmt numFmtId="0" formatCode="General"/>
      <protection locked="1" hidden="1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0" formatCode="General"/>
      <protection locked="1" hidden="1"/>
    </dxf>
    <dxf>
      <numFmt numFmtId="0" formatCode="General"/>
      <protection locked="1" hidden="1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1" hidden="1"/>
    </dxf>
    <dxf>
      <numFmt numFmtId="0" formatCode="General"/>
      <alignment horizontal="center" vertical="bottom" textRotation="0" wrapText="0" indent="0" justifyLastLine="0" shrinkToFit="0" readingOrder="0"/>
      <protection locked="1" hidden="1"/>
    </dxf>
    <dxf>
      <numFmt numFmtId="0" formatCode="General"/>
      <alignment horizontal="center" vertical="bottom" textRotation="0" wrapText="0" indent="0" justifyLastLine="0" shrinkToFit="0" readingOrder="0"/>
      <protection locked="1" hidden="1"/>
    </dxf>
    <dxf>
      <numFmt numFmtId="0" formatCode="General"/>
      <alignment horizontal="center" vertical="bottom" textRotation="0" wrapText="0" indent="0" justifyLastLine="0" shrinkToFit="0" readingOrder="0"/>
      <protection locked="1" hidden="1"/>
    </dxf>
    <dxf>
      <alignment horizontal="center" vertical="bottom" textRotation="0" wrapText="1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1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protection locked="0" hidden="0"/>
    </dxf>
    <dxf>
      <alignment horizontal="center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123825</xdr:colOff>
      <xdr:row>8</xdr:row>
      <xdr:rowOff>28575</xdr:rowOff>
    </xdr:from>
    <xdr:to>
      <xdr:col>31</xdr:col>
      <xdr:colOff>75358</xdr:colOff>
      <xdr:row>18</xdr:row>
      <xdr:rowOff>142635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97675" y="1933575"/>
          <a:ext cx="6047533" cy="20190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1</xdr:col>
          <xdr:colOff>1257300</xdr:colOff>
          <xdr:row>5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8" name="Table8" displayName="Table8" ref="A1:M25" totalsRowShown="0" headerRowDxfId="111" dataDxfId="110">
  <autoFilter ref="A1:M25"/>
  <tableColumns count="13">
    <tableColumn id="1" name="نیمسال " dataDxfId="109"/>
    <tableColumn id="2" name="نام واحد درسی " dataDxfId="108"/>
    <tableColumn id="11" name="رشته" dataDxfId="107"/>
    <tableColumn id="3" name="مقطع" dataDxfId="106"/>
    <tableColumn id="4" name="تعداد واحد" dataDxfId="105"/>
    <tableColumn id="5" name="وضعیت واحد" dataDxfId="104"/>
    <tableColumn id="12" name=" نوع واحد" dataDxfId="103"/>
    <tableColumn id="6" name="امتیاز وضعیت " dataDxfId="102">
      <calculatedColumnFormula>VLOOKUP(F2,$V$1:$W$4,2,0)</calculatedColumnFormula>
    </tableColumn>
    <tableColumn id="7" name="امتیاز مقطع" dataDxfId="101">
      <calculatedColumnFormula>VLOOKUP(D2,$V$7:$W$9,2,0)</calculatedColumnFormula>
    </tableColumn>
    <tableColumn id="13" name="امتیاز نوع واحد" dataDxfId="100">
      <calculatedColumnFormula>IF(G2="نظری",1,IF(G2="عملی",1.5,0))</calculatedColumnFormula>
    </tableColumn>
    <tableColumn id="8" name="امتیاز اولیه" dataDxfId="99">
      <calculatedColumnFormula>E2*H2*I2*J2</calculatedColumnFormula>
    </tableColumn>
    <tableColumn id="9" name="امتیاز نهایی" dataDxfId="98">
      <calculatedColumnFormula>IF(ISNUMBER(Table8[[#This Row],[امتیاز اولیه]]),Table8[[#This Row],[امتیاز اولیه]]," ")</calculatedColumnFormula>
    </tableColumn>
    <tableColumn id="10" name=" مستندات " dataDxfId="9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6" name="Table6" displayName="Table6" ref="A1:E6" totalsRowShown="0" headerRowDxfId="6" dataDxfId="5">
  <autoFilter ref="A1:E6"/>
  <tableColumns count="5">
    <tableColumn id="1" name="ردیف" dataDxfId="4"/>
    <tableColumn id="2" name=" عنوان کنگره یا همایش" dataDxfId="3"/>
    <tableColumn id="3" name="نقش" dataDxfId="2"/>
    <tableColumn id="4" name="امتیاز " dataDxfId="1">
      <calculatedColumnFormula>VLOOKUP(Table6[[#This Row],[نقش]],$O$1:$P$4,2,0)</calculatedColumnFormula>
    </tableColumn>
    <tableColumn id="5" name="امتیاز نهایی" dataDxfId="0">
      <calculatedColumnFormula>IF(ISNUMBER(Table6[[#This Row],[امتیاز ]]),Table6[[#This Row],[امتیاز ]]," 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3" name="Table13" displayName="Table13" ref="A1:H24" totalsRowShown="0" headerRowDxfId="96" dataDxfId="95">
  <autoFilter ref="A1:H24"/>
  <tableColumns count="8">
    <tableColumn id="1" name="نیمسال" dataDxfId="94"/>
    <tableColumn id="2" name="نام درس" dataDxfId="93"/>
    <tableColumn id="3" name="تعداد واحد" dataDxfId="92"/>
    <tableColumn id="8" name="امتیاز کسب شده" dataDxfId="91"/>
    <tableColumn id="7" name="ضریب ارزیابی" dataDxfId="90">
      <calculatedColumnFormula>VLOOKUP(Table13[[#This Row],[امتیاز کسب شده]],$O$2:$P$6,2,0)</calculatedColumnFormula>
    </tableColumn>
    <tableColumn id="4" name="امتیاز " dataDxfId="89">
      <calculatedColumnFormula>Table13[[#This Row],[تعداد واحد]]*E2*0.25</calculatedColumnFormula>
    </tableColumn>
    <tableColumn id="5" name="امتیاز نهایی" dataDxfId="88">
      <calculatedColumnFormula>IF(ISNUMBER(Table13[[#This Row],[امتیاز ]]),Table13[[#This Row],[امتیاز ]]," ")</calculatedColumnFormula>
    </tableColumn>
    <tableColumn id="6" name="مستندات (نامه تایید مدیر محترم EDC)" dataDxfId="8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A1:P27" totalsRowShown="0" headerRowDxfId="86" dataDxfId="84" headerRowBorderDxfId="85" tableBorderDxfId="83" totalsRowBorderDxfId="82">
  <autoFilter ref="A1:P27"/>
  <tableColumns count="16">
    <tableColumn id="1" name="ردیف" dataDxfId="81"/>
    <tableColumn id="2" name="عنوان مقاله" dataDxfId="80"/>
    <tableColumn id="3" name="عنوان مجله" dataDxfId="79"/>
    <tableColumn id="6" name="ایندکس" dataDxfId="78"/>
    <tableColumn id="7" name="نوع مقاله " dataDxfId="77"/>
    <tableColumn id="8" name="نوع مشارکت " dataDxfId="76"/>
    <tableColumn id="9" name="تعداد نویسندگان" dataDxfId="75"/>
    <tableColumn id="10" name="امتیاز پایه" dataDxfId="74">
      <calculatedColumnFormula>VLOOKUP(Table1[[#This Row],[ایندکس]],Y2:Z12,2,0)</calculatedColumnFormula>
    </tableColumn>
    <tableColumn id="17" name="امتیاز اولیه" dataDxfId="73">
      <calculatedColumnFormula>H2</calculatedColumnFormula>
    </tableColumn>
    <tableColumn id="13" name="ضریب  نوع مقاله" dataDxfId="72">
      <calculatedColumnFormula>VLOOKUP(Table1[[#This Row],[نوع مقاله ]],AA2:AB11,2,0)</calculatedColumnFormula>
    </tableColumn>
    <tableColumn id="14" name="ضریب نویسنده همکار" dataDxfId="71">
      <calculatedColumnFormula xml:space="preserve"> VLOOKUP(Table1[[#This Row],[تعداد نویسندگان]],$AE$2:$AF$22,2,0)</calculatedColumnFormula>
    </tableColumn>
    <tableColumn id="4" name="ضریب نویسنده مسسوول" dataDxfId="70">
      <calculatedColumnFormula>VLOOKUP(Table1[[#This Row],[تعداد نویسندگان]],$AK$2:$AL$21,2,0)</calculatedColumnFormula>
    </tableColumn>
    <tableColumn id="5" name="ضریب نویسنده" dataDxfId="69">
      <calculatedColumnFormula>IF(Table1[[#This Row],[نوع مشارکت ]]="سایر",Table1[[#This Row],[ضریب نویسنده همکار]],Table1[[#This Row],[ضریب نویسنده مسسوول]])</calculatedColumnFormula>
    </tableColumn>
    <tableColumn id="16" name=" امتیاز کل" dataDxfId="68">
      <calculatedColumnFormula>Table1[[#This Row],[امتیاز اولیه]]*Table1[[#This Row],[ضریب  نوع مقاله]]*M2*#REF!</calculatedColumnFormula>
    </tableColumn>
    <tableColumn id="19" name="امتیاز نهایی" dataDxfId="67">
      <calculatedColumnFormula>IF(ISNUMBER(Table1[[#This Row],[ امتیاز کل]]),Table1[[#This Row],[ امتیاز کل]]," ")</calculatedColumnFormula>
    </tableColumn>
    <tableColumn id="20" name="لینک مقاله" dataDxfId="6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N12" totalsRowShown="0" headerRowDxfId="65" dataDxfId="64">
  <autoFilter ref="A1:N12"/>
  <tableColumns count="14">
    <tableColumn id="1" name="ردیف" dataDxfId="63"/>
    <tableColumn id="6" name="عنوان ارائه" dataDxfId="62"/>
    <tableColumn id="7" name="نام کنگره" dataDxfId="61"/>
    <tableColumn id="9" name="محل برگزاری" dataDxfId="60"/>
    <tableColumn id="10" name="نقش پژوهشگر" dataDxfId="59"/>
    <tableColumn id="8" name="تعداد نویسندگان " dataDxfId="58"/>
    <tableColumn id="2" name=" نوع ارائه " dataDxfId="57"/>
    <tableColumn id="3" name="امتیاز پایه " dataDxfId="56">
      <calculatedColumnFormula>VLOOKUP(Table3[[#This Row],[ نوع ارائه ]],$Y$2:$Z$6,2,0)</calculatedColumnFormula>
    </tableColumn>
    <tableColumn id="13" name="ضریب ارائه دهنده یا نویسنده اول " dataDxfId="55">
      <calculatedColumnFormula>VLOOKUP(Table3[[#This Row],[تعداد نویسندگان ]],$AJ$2:$AK$21,2,0)</calculatedColumnFormula>
    </tableColumn>
    <tableColumn id="12" name="ضریب همکار " dataDxfId="54">
      <calculatedColumnFormula>VLOOKUP(Table3[[#This Row],[تعداد نویسندگان ]],$AD$2:$AE$21,2,0)</calculatedColumnFormula>
    </tableColumn>
    <tableColumn id="11" name="ضریب نهایی نویسنده" dataDxfId="53">
      <calculatedColumnFormula>IF(Table3[[#This Row],[نقش پژوهشگر]]="سایر",Table3[[#This Row],[ضریب همکار ]],Table3[[#This Row],[ضریب ارائه دهنده یا نویسنده اول ]])</calculatedColumnFormula>
    </tableColumn>
    <tableColumn id="14" name="امتیاز اولیه" dataDxfId="52">
      <calculatedColumnFormula>Table3[[#This Row],[ضریب نهایی نویسنده]]*Table3[[#This Row],[امتیاز پایه ]]</calculatedColumnFormula>
    </tableColumn>
    <tableColumn id="4" name="امتیاز نهایی" dataDxfId="51">
      <calculatedColumnFormula>IF(ISNUMBER(Table3[[#This Row],[امتیاز پایه ]]),Table3[[#This Row],[امتیاز پایه ]]," ")</calculatedColumnFormula>
    </tableColumn>
    <tableColumn id="5" name=" لینک مستندات" dataDxfId="5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1:I12" totalsRowShown="0" headerRowDxfId="49" dataDxfId="48">
  <autoFilter ref="A1:I12"/>
  <tableColumns count="9">
    <tableColumn id="1" name="ردیف" dataDxfId="47"/>
    <tableColumn id="2" name="نام کتاب " dataDxfId="46"/>
    <tableColumn id="3" name="تعداد صفحه" dataDxfId="45"/>
    <tableColumn id="4" name="نقش پزوهشگر" dataDxfId="44"/>
    <tableColumn id="5" name="امتیاز پایه" dataDxfId="43">
      <calculatedColumnFormula>VLOOKUP(Table4[[#This Row],[نقش پزوهشگر]],$O$1:$P$3,2,0)</calculatedColumnFormula>
    </tableColumn>
    <tableColumn id="6" name="ضریب تعداد صفحات" dataDxfId="42">
      <calculatedColumnFormula>IF(D2="تاليف کامل یا بخشی از کتاب",C2*0.05,+IF(D2="ترجمه کامل یا بخشی از کتاب",C2*0.03,E2))</calculatedColumnFormula>
    </tableColumn>
    <tableColumn id="11" name="امتیاز کل بعد از اعمال شرط سقف" dataDxfId="41">
      <calculatedColumnFormula>IF(AND(D2="تاليف کامل یا بخشی از کتاب",F2&gt;5),5,IF(AND(D2="ترجمه کامل یا بخشی از کتاب",F2&gt;3),3,F2))</calculatedColumnFormula>
    </tableColumn>
    <tableColumn id="8" name=" امتیاز نهایی" dataDxfId="40"/>
    <tableColumn id="9" name="مستند" dataDxfId="3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1:E21" totalsRowShown="0" headerRowDxfId="38" dataDxfId="37">
  <autoFilter ref="A1:E21"/>
  <tableColumns count="5">
    <tableColumn id="1" name="ردیف" dataDxfId="36"/>
    <tableColumn id="2" name="عنوان طرح" dataDxfId="35"/>
    <tableColumn id="3" name="نوع همکاری " dataDxfId="34"/>
    <tableColumn id="4" name="امتیاز اولیه" dataDxfId="33">
      <calculatedColumnFormula>VLOOKUP(Table5[[#This Row],[نوع همکاری ]],$M$1:$N$4,2,0)</calculatedColumnFormula>
    </tableColumn>
    <tableColumn id="5" name="امتیاز نهایی" dataDxfId="32">
      <calculatedColumnFormula>IF(ISNUMBER(Table5[[#This Row],[امتیاز اولیه]]),Table5[[#This Row],[امتیاز اولیه]],"")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1:G11" totalsRowShown="0" headerRowDxfId="31" dataDxfId="30">
  <autoFilter ref="A1:G11"/>
  <tableColumns count="7">
    <tableColumn id="1" name="ردیف " dataDxfId="29"/>
    <tableColumn id="7" name="عنوان ارائه" dataDxfId="28"/>
    <tableColumn id="2" name="عنوان جشنواره" dataDxfId="27"/>
    <tableColumn id="3" name=" عنوان رتبه " dataDxfId="26"/>
    <tableColumn id="4" name=" امتیاز" dataDxfId="25">
      <calculatedColumnFormula>VLOOKUP(Table7[[#This Row],[ عنوان رتبه ]],$P$1:$Q$8,2,0)</calculatedColumnFormula>
    </tableColumn>
    <tableColumn id="5" name="امتیاز نهایی" dataDxfId="24">
      <calculatedColumnFormula>IF(ISNUMBER(Table7[[#This Row],[ امتیاز]]),E2," ")</calculatedColumnFormula>
    </tableColumn>
    <tableColumn id="6" name=" مستندات " dataDxfId="2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2" name="Table12" displayName="Table12" ref="A1:E19" totalsRowShown="0" headerRowDxfId="22" dataDxfId="21">
  <autoFilter ref="A1:E19"/>
  <tableColumns count="5">
    <tableColumn id="1" name="ردیف" dataDxfId="20"/>
    <tableColumn id="2" name="عنوان داوری شده " dataDxfId="19"/>
    <tableColumn id="3" name="نوع داوری " dataDxfId="18"/>
    <tableColumn id="4" name="امتیاز " dataDxfId="17">
      <calculatedColumnFormula>VLOOKUP(Table12[[#This Row],[نوع داوری ]],$P$1:$Q$7,2,0)</calculatedColumnFormula>
    </tableColumn>
    <tableColumn id="5" name=" امتیاز نهایی" dataDxfId="16">
      <calculatedColumnFormula>IF(ISNUMBER(Table12[[#This Row],[امتیاز ]]),Table12[[#This Row],[امتیاز ]]," ")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2" name="Table2" displayName="Table2" ref="A1:G12" totalsRowShown="0" headerRowDxfId="15" dataDxfId="14">
  <autoFilter ref="A1:G12"/>
  <tableColumns count="7">
    <tableColumn id="1" name="ردیف" dataDxfId="13"/>
    <tableColumn id="2" name="عنوان پایان نامه " dataDxfId="12"/>
    <tableColumn id="11" name="دانشگاه محل تحصیل دانشجو" dataDxfId="11"/>
    <tableColumn id="4" name=" نقش  پژوهشگر و مقطع دانشجو" dataDxfId="10"/>
    <tableColumn id="10" name="امتیاز اولیه" dataDxfId="9">
      <calculatedColumnFormula>IF(AND(#REF!=$M$1,D2=#REF!),1,0.5)</calculatedColumnFormula>
    </tableColumn>
    <tableColumn id="8" name=" امتیاز نهایی" dataDxfId="8">
      <calculatedColumnFormula>IF(ISNUMBER(#REF!),#REF!," ")</calculatedColumnFormula>
    </tableColumn>
    <tableColumn id="9" name="لینک مستندات" dataDxf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"/>
  <sheetViews>
    <sheetView tabSelected="1" workbookViewId="0">
      <selection activeCell="C8" sqref="C8"/>
    </sheetView>
  </sheetViews>
  <sheetFormatPr defaultRowHeight="15" x14ac:dyDescent="0.25"/>
  <cols>
    <col min="1" max="1" width="16.5703125" style="2" customWidth="1"/>
    <col min="2" max="2" width="27.28515625" style="2" customWidth="1"/>
    <col min="3" max="3" width="13.140625" style="2" customWidth="1"/>
    <col min="4" max="4" width="14.85546875" style="2" customWidth="1"/>
    <col min="5" max="5" width="17.42578125" style="2" customWidth="1"/>
    <col min="6" max="6" width="16.28515625" style="2" customWidth="1"/>
    <col min="7" max="7" width="13.5703125" style="2" customWidth="1"/>
    <col min="8" max="15" width="13.42578125" style="2" customWidth="1"/>
    <col min="16" max="17" width="13.42578125" style="2" hidden="1" customWidth="1"/>
    <col min="18" max="18" width="3.42578125" style="2" hidden="1" customWidth="1"/>
    <col min="19" max="19" width="15.42578125" style="2" hidden="1" customWidth="1"/>
    <col min="20" max="20" width="9.140625" style="2" hidden="1" customWidth="1"/>
    <col min="21" max="16384" width="9.140625" style="2"/>
  </cols>
  <sheetData>
    <row r="1" spans="1:20" ht="45" x14ac:dyDescent="0.25">
      <c r="A1" s="5" t="s">
        <v>68</v>
      </c>
      <c r="B1" s="5" t="s">
        <v>69</v>
      </c>
      <c r="C1" s="5" t="s">
        <v>162</v>
      </c>
      <c r="D1" s="5" t="s">
        <v>163</v>
      </c>
      <c r="E1" s="1" t="s">
        <v>180</v>
      </c>
      <c r="F1" s="1" t="s">
        <v>164</v>
      </c>
      <c r="G1" s="1" t="s">
        <v>181</v>
      </c>
      <c r="H1" s="1" t="s">
        <v>165</v>
      </c>
      <c r="I1" s="1" t="s">
        <v>166</v>
      </c>
      <c r="J1" s="1" t="s">
        <v>167</v>
      </c>
    </row>
    <row r="2" spans="1:20" x14ac:dyDescent="0.25">
      <c r="D2" s="2" t="s">
        <v>176</v>
      </c>
      <c r="E2" s="47">
        <f>VLOOKUP(D2,$P$2:$Q$8,2,0)</f>
        <v>6</v>
      </c>
      <c r="F2" s="47">
        <f>'فعالیت آموزشی'!L25+'طرح درسی'!G24+'فعالیت های مرتبط با آموزش'!Q2</f>
        <v>0</v>
      </c>
      <c r="G2" s="47">
        <f>VLOOKUP(D2,S2:T8,2,0)</f>
        <v>2</v>
      </c>
      <c r="H2" s="63">
        <f>مقالات!O27+'کنگره و همایش ها'!M12+کتاب!H12+'طرح تحقیقاتی'!E21+'کسب رتبه'!F12+'داوری '!E19+'پایان نامه ها'!F12+'برگزاری همایش'!E6</f>
        <v>0</v>
      </c>
      <c r="I2" s="63">
        <f>مقالات!O27</f>
        <v>0</v>
      </c>
      <c r="J2" s="63">
        <f>'کنگره و همایش ها'!M12+کتاب!H12+'طرح تحقیقاتی'!E21+'کسب رتبه'!F11+'داوری '!E19+'پایان نامه ها'!F12+'برگزاری همایش'!E6</f>
        <v>0</v>
      </c>
      <c r="P2" s="2" t="s">
        <v>173</v>
      </c>
      <c r="Q2" s="2">
        <v>7</v>
      </c>
      <c r="S2" s="2" t="s">
        <v>173</v>
      </c>
      <c r="T2" s="2">
        <v>1</v>
      </c>
    </row>
    <row r="3" spans="1:20" x14ac:dyDescent="0.25">
      <c r="P3" s="2" t="s">
        <v>176</v>
      </c>
      <c r="Q3" s="2">
        <v>6</v>
      </c>
      <c r="S3" s="2" t="s">
        <v>176</v>
      </c>
      <c r="T3" s="2">
        <v>2</v>
      </c>
    </row>
    <row r="4" spans="1:20" x14ac:dyDescent="0.25">
      <c r="P4" s="2" t="s">
        <v>174</v>
      </c>
      <c r="Q4" s="2">
        <v>3</v>
      </c>
      <c r="S4" s="2" t="s">
        <v>174</v>
      </c>
      <c r="T4" s="2">
        <v>3</v>
      </c>
    </row>
    <row r="5" spans="1:20" x14ac:dyDescent="0.25">
      <c r="B5" s="4"/>
      <c r="P5" s="2" t="s">
        <v>175</v>
      </c>
      <c r="Q5" s="2">
        <v>5</v>
      </c>
      <c r="S5" s="2" t="s">
        <v>175</v>
      </c>
      <c r="T5" s="2">
        <v>3</v>
      </c>
    </row>
    <row r="6" spans="1:20" x14ac:dyDescent="0.25">
      <c r="B6" s="4"/>
      <c r="P6" s="2" t="s">
        <v>177</v>
      </c>
      <c r="Q6" s="2">
        <v>2</v>
      </c>
      <c r="S6" s="2" t="s">
        <v>177</v>
      </c>
      <c r="T6" s="2">
        <v>8</v>
      </c>
    </row>
    <row r="7" spans="1:20" x14ac:dyDescent="0.25">
      <c r="B7" s="1" t="s">
        <v>168</v>
      </c>
      <c r="P7" s="2" t="s">
        <v>178</v>
      </c>
      <c r="Q7" s="2">
        <v>4</v>
      </c>
      <c r="S7" s="2" t="s">
        <v>178</v>
      </c>
      <c r="T7" s="2">
        <v>4</v>
      </c>
    </row>
    <row r="8" spans="1:20" x14ac:dyDescent="0.25">
      <c r="B8" s="1" t="s">
        <v>169</v>
      </c>
      <c r="P8" s="2" t="s">
        <v>179</v>
      </c>
      <c r="Q8" s="2">
        <v>2</v>
      </c>
      <c r="S8" s="2" t="s">
        <v>179</v>
      </c>
      <c r="T8" s="2">
        <v>10</v>
      </c>
    </row>
    <row r="9" spans="1:20" x14ac:dyDescent="0.25">
      <c r="B9" s="1" t="s">
        <v>170</v>
      </c>
    </row>
  </sheetData>
  <sheetProtection algorithmName="SHA-512" hashValue="156LMGwKDYa3ojNaUvURFadIDSZpxfsPq9oJHkCA5pK+yHJOBuhHWWS9++iKRibcNRxdEHYPA7CpWZzMQSVNpQ==" saltValue="SXtSE5Me2b66VqI2Nbo/WQ==" spinCount="100000" sheet="1" scenarios="1"/>
  <dataValidations count="1">
    <dataValidation type="list" allowBlank="1" showInputMessage="1" showErrorMessage="1" sqref="D2">
      <formula1>$P$2:$P$8</formula1>
    </dataValidation>
  </dataValidation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Packager Shell Object" shapeId="1025" r:id="rId4">
          <objectPr defaultSize="0" autoPict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1</xdr:col>
                <xdr:colOff>1257300</xdr:colOff>
                <xdr:row>5</xdr:row>
                <xdr:rowOff>152400</xdr:rowOff>
              </to>
            </anchor>
          </objectPr>
        </oleObject>
      </mc:Choice>
      <mc:Fallback>
        <oleObject progId="Packager Shell Objec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H3" sqref="H3"/>
    </sheetView>
  </sheetViews>
  <sheetFormatPr defaultRowHeight="48" customHeight="1" x14ac:dyDescent="0.25"/>
  <cols>
    <col min="1" max="1" width="9.140625" style="2"/>
    <col min="2" max="2" width="61" style="2" customWidth="1"/>
    <col min="3" max="3" width="24.85546875" style="2" customWidth="1"/>
    <col min="4" max="4" width="16.7109375" style="2" customWidth="1"/>
    <col min="5" max="5" width="10.7109375" style="2" hidden="1" customWidth="1"/>
    <col min="6" max="6" width="10.140625" style="2" customWidth="1"/>
    <col min="7" max="7" width="21.42578125" style="2" customWidth="1"/>
    <col min="8" max="15" width="9.140625" style="2"/>
    <col min="16" max="16" width="24.28515625" style="2" hidden="1" customWidth="1"/>
    <col min="17" max="17" width="13.85546875" style="2" hidden="1" customWidth="1"/>
    <col min="18" max="16384" width="9.140625" style="2"/>
  </cols>
  <sheetData>
    <row r="1" spans="1:17" ht="48" customHeight="1" thickBot="1" x14ac:dyDescent="0.3">
      <c r="A1" s="9" t="s">
        <v>63</v>
      </c>
      <c r="B1" s="9" t="s">
        <v>52</v>
      </c>
      <c r="C1" s="9" t="s">
        <v>64</v>
      </c>
      <c r="D1" s="9" t="s">
        <v>65</v>
      </c>
      <c r="E1" s="9" t="s">
        <v>59</v>
      </c>
      <c r="F1" s="9" t="s">
        <v>40</v>
      </c>
      <c r="G1" s="9" t="s">
        <v>66</v>
      </c>
      <c r="P1" s="10" t="s">
        <v>67</v>
      </c>
      <c r="Q1" s="11">
        <v>20</v>
      </c>
    </row>
    <row r="2" spans="1:17" ht="48" customHeight="1" thickBot="1" x14ac:dyDescent="0.3">
      <c r="A2" s="22"/>
      <c r="B2" s="23"/>
      <c r="C2" s="22"/>
      <c r="D2" s="22"/>
      <c r="E2" s="42" t="e">
        <f>VLOOKUP(Table7[[#This Row],[ عنوان رتبه ]],$P$1:$Q$8,2,0)</f>
        <v>#N/A</v>
      </c>
      <c r="F2" s="42" t="str">
        <f>IF(ISNUMBER(Table7[[#This Row],[ امتیاز]]),E2," ")</f>
        <v xml:space="preserve"> </v>
      </c>
      <c r="G2" s="22"/>
      <c r="P2" s="12" t="s">
        <v>60</v>
      </c>
      <c r="Q2" s="13">
        <v>12</v>
      </c>
    </row>
    <row r="3" spans="1:17" ht="48" customHeight="1" thickBot="1" x14ac:dyDescent="0.3">
      <c r="A3" s="22"/>
      <c r="B3" s="23"/>
      <c r="C3" s="22"/>
      <c r="D3" s="22"/>
      <c r="E3" s="42" t="e">
        <f>VLOOKUP(Table7[[#This Row],[ عنوان رتبه ]],$P$1:$Q$8,2,0)</f>
        <v>#N/A</v>
      </c>
      <c r="F3" s="42" t="str">
        <f>IF(ISNUMBER(Table7[[#This Row],[ امتیاز]]),E3," ")</f>
        <v xml:space="preserve"> </v>
      </c>
      <c r="G3" s="22"/>
      <c r="P3" s="12" t="s">
        <v>61</v>
      </c>
      <c r="Q3" s="13">
        <v>10</v>
      </c>
    </row>
    <row r="4" spans="1:17" ht="48" customHeight="1" thickBot="1" x14ac:dyDescent="0.3">
      <c r="A4" s="22"/>
      <c r="B4" s="23"/>
      <c r="C4" s="22"/>
      <c r="D4" s="22"/>
      <c r="E4" s="42" t="e">
        <f>VLOOKUP(Table7[[#This Row],[ عنوان رتبه ]],$P$1:$Q$8,2,0)</f>
        <v>#N/A</v>
      </c>
      <c r="F4" s="42" t="str">
        <f>IF(ISNUMBER(Table7[[#This Row],[ امتیاز]]),E4," ")</f>
        <v xml:space="preserve"> </v>
      </c>
      <c r="G4" s="22"/>
      <c r="P4" s="12" t="s">
        <v>62</v>
      </c>
      <c r="Q4" s="13">
        <v>8</v>
      </c>
    </row>
    <row r="5" spans="1:17" ht="48" customHeight="1" thickBot="1" x14ac:dyDescent="0.3">
      <c r="A5" s="22"/>
      <c r="B5" s="23"/>
      <c r="C5" s="22"/>
      <c r="D5" s="22"/>
      <c r="E5" s="42" t="e">
        <f>VLOOKUP(Table7[[#This Row],[ عنوان رتبه ]],$P$1:$Q$8,2,0)</f>
        <v>#N/A</v>
      </c>
      <c r="F5" s="42" t="str">
        <f>IF(ISNUMBER(Table7[[#This Row],[ امتیاز]]),E5," ")</f>
        <v xml:space="preserve"> </v>
      </c>
      <c r="G5" s="22"/>
      <c r="P5" s="12" t="s">
        <v>85</v>
      </c>
      <c r="Q5" s="13">
        <v>12</v>
      </c>
    </row>
    <row r="6" spans="1:17" ht="48" customHeight="1" thickBot="1" x14ac:dyDescent="0.3">
      <c r="A6" s="22"/>
      <c r="B6" s="23"/>
      <c r="C6" s="22"/>
      <c r="D6" s="22"/>
      <c r="E6" s="42" t="e">
        <f>VLOOKUP(Table7[[#This Row],[ عنوان رتبه ]],$P$1:$Q$8,2,0)</f>
        <v>#N/A</v>
      </c>
      <c r="F6" s="42" t="str">
        <f>IF(ISNUMBER(Table7[[#This Row],[ امتیاز]]),E6," ")</f>
        <v xml:space="preserve"> </v>
      </c>
      <c r="G6" s="22"/>
      <c r="P6" s="12" t="s">
        <v>86</v>
      </c>
      <c r="Q6" s="13">
        <v>10</v>
      </c>
    </row>
    <row r="7" spans="1:17" ht="48" customHeight="1" thickBot="1" x14ac:dyDescent="0.3">
      <c r="A7" s="22"/>
      <c r="B7" s="23"/>
      <c r="C7" s="22"/>
      <c r="D7" s="22"/>
      <c r="E7" s="42" t="e">
        <f>VLOOKUP(Table7[[#This Row],[ عنوان رتبه ]],$P$1:$Q$8,2,0)</f>
        <v>#N/A</v>
      </c>
      <c r="F7" s="42" t="str">
        <f>IF(ISNUMBER(Table7[[#This Row],[ امتیاز]]),E7," ")</f>
        <v xml:space="preserve"> </v>
      </c>
      <c r="G7" s="22"/>
      <c r="P7" s="12" t="s">
        <v>87</v>
      </c>
      <c r="Q7" s="13">
        <v>8</v>
      </c>
    </row>
    <row r="8" spans="1:17" ht="48" customHeight="1" thickBot="1" x14ac:dyDescent="0.3">
      <c r="A8" s="22"/>
      <c r="B8" s="23"/>
      <c r="C8" s="22"/>
      <c r="D8" s="22"/>
      <c r="E8" s="42" t="e">
        <f>VLOOKUP(Table7[[#This Row],[ عنوان رتبه ]],$P$1:$Q$8,2,0)</f>
        <v>#N/A</v>
      </c>
      <c r="F8" s="42" t="str">
        <f>IF(ISNUMBER(Table7[[#This Row],[ امتیاز]]),E8," ")</f>
        <v xml:space="preserve"> </v>
      </c>
      <c r="G8" s="22"/>
      <c r="P8" s="14"/>
      <c r="Q8" s="13"/>
    </row>
    <row r="9" spans="1:17" ht="48" customHeight="1" x14ac:dyDescent="0.25">
      <c r="A9" s="22"/>
      <c r="B9" s="23"/>
      <c r="C9" s="22"/>
      <c r="D9" s="22"/>
      <c r="E9" s="42" t="e">
        <f>VLOOKUP(Table7[[#This Row],[ عنوان رتبه ]],$P$1:$Q$8,2,0)</f>
        <v>#N/A</v>
      </c>
      <c r="F9" s="42" t="str">
        <f>IF(ISNUMBER(Table7[[#This Row],[ امتیاز]]),E9," ")</f>
        <v xml:space="preserve"> </v>
      </c>
      <c r="G9" s="22"/>
    </row>
    <row r="10" spans="1:17" ht="48" customHeight="1" x14ac:dyDescent="0.25">
      <c r="A10" s="22"/>
      <c r="B10" s="23"/>
      <c r="C10" s="22"/>
      <c r="D10" s="22"/>
      <c r="E10" s="42" t="e">
        <f>VLOOKUP(Table7[[#This Row],[ عنوان رتبه ]],$P$1:$Q$8,2,0)</f>
        <v>#N/A</v>
      </c>
      <c r="F10" s="42" t="str">
        <f>IF(ISNUMBER(Table7[[#This Row],[ امتیاز]]),E10," ")</f>
        <v xml:space="preserve"> </v>
      </c>
      <c r="G10" s="22"/>
    </row>
    <row r="11" spans="1:17" ht="48" customHeight="1" x14ac:dyDescent="0.25">
      <c r="A11" s="22" t="s">
        <v>44</v>
      </c>
      <c r="B11" s="22"/>
      <c r="C11" s="22"/>
      <c r="D11" s="22"/>
      <c r="E11" s="22"/>
      <c r="F11" s="42">
        <f xml:space="preserve"> SUM(F2:F10)</f>
        <v>0</v>
      </c>
      <c r="G11" s="22"/>
    </row>
  </sheetData>
  <sheetProtection algorithmName="SHA-512" hashValue="xqP5vKgzAKe5+lpp9bGTFdAXFf7jPyaYgBr7vkfKF+7tWr0U8i2bxS0MUPzRgBmSQ+hBNnc/HclRcwu5g37McA==" saltValue="VOYefPZaH1uLVBCj+nRN7g==" spinCount="100000" sheet="1" scenarios="1"/>
  <dataValidations count="1">
    <dataValidation type="list" allowBlank="1" showInputMessage="1" showErrorMessage="1" sqref="D2:D10">
      <formula1>$P$1:$P$8</formula1>
    </dataValidation>
  </dataValidation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D2" sqref="D2:E19"/>
    </sheetView>
  </sheetViews>
  <sheetFormatPr defaultRowHeight="57" customHeight="1" x14ac:dyDescent="0.25"/>
  <cols>
    <col min="1" max="1" width="15.42578125" style="2" customWidth="1"/>
    <col min="2" max="2" width="67.42578125" style="2" customWidth="1"/>
    <col min="3" max="3" width="20.42578125" style="2" customWidth="1"/>
    <col min="4" max="4" width="2.7109375" style="2" hidden="1" customWidth="1"/>
    <col min="5" max="10" width="9.140625" style="2"/>
    <col min="11" max="11" width="25.5703125" style="2" hidden="1" customWidth="1"/>
    <col min="12" max="12" width="9" style="2" hidden="1" customWidth="1"/>
    <col min="13" max="15" width="9.140625" style="2"/>
    <col min="16" max="17" width="0" style="2" hidden="1" customWidth="1"/>
    <col min="18" max="16384" width="9.140625" style="2"/>
  </cols>
  <sheetData>
    <row r="1" spans="1:17" ht="57" customHeight="1" thickBot="1" x14ac:dyDescent="0.3">
      <c r="A1" s="5" t="s">
        <v>5</v>
      </c>
      <c r="B1" s="5" t="s">
        <v>137</v>
      </c>
      <c r="C1" s="5" t="s">
        <v>138</v>
      </c>
      <c r="D1" s="5" t="s">
        <v>50</v>
      </c>
      <c r="E1" s="5" t="s">
        <v>43</v>
      </c>
      <c r="K1" s="15" t="s">
        <v>71</v>
      </c>
      <c r="L1" s="15">
        <v>15</v>
      </c>
      <c r="P1" s="2" t="s">
        <v>139</v>
      </c>
      <c r="Q1" s="2">
        <v>1</v>
      </c>
    </row>
    <row r="2" spans="1:17" ht="57" customHeight="1" thickBot="1" x14ac:dyDescent="0.3">
      <c r="A2" s="22"/>
      <c r="B2" s="22"/>
      <c r="C2" s="22"/>
      <c r="D2" s="42" t="e">
        <f>VLOOKUP(Table12[[#This Row],[نوع داوری ]],$P$1:$Q$7,2,0)</f>
        <v>#N/A</v>
      </c>
      <c r="E2" s="42" t="str">
        <f>IF(ISNUMBER(Table12[[#This Row],[امتیاز ]]),Table12[[#This Row],[امتیاز ]]," ")</f>
        <v xml:space="preserve"> </v>
      </c>
      <c r="K2" s="15" t="s">
        <v>72</v>
      </c>
      <c r="L2" s="15">
        <v>20</v>
      </c>
      <c r="P2" s="2" t="s">
        <v>140</v>
      </c>
      <c r="Q2" s="2">
        <v>0.5</v>
      </c>
    </row>
    <row r="3" spans="1:17" ht="57" customHeight="1" x14ac:dyDescent="0.25">
      <c r="A3" s="22"/>
      <c r="B3" s="22"/>
      <c r="C3" s="22"/>
      <c r="D3" s="42" t="e">
        <f>VLOOKUP(Table12[[#This Row],[نوع داوری ]],$P$1:$Q$7,2,0)</f>
        <v>#N/A</v>
      </c>
      <c r="E3" s="42" t="str">
        <f>IF(ISNUMBER(Table12[[#This Row],[امتیاز ]]),Table12[[#This Row],[امتیاز ]]," ")</f>
        <v xml:space="preserve"> </v>
      </c>
      <c r="P3" s="2" t="s">
        <v>141</v>
      </c>
      <c r="Q3" s="2">
        <v>1</v>
      </c>
    </row>
    <row r="4" spans="1:17" ht="57" customHeight="1" x14ac:dyDescent="0.25">
      <c r="A4" s="22"/>
      <c r="B4" s="22"/>
      <c r="C4" s="22"/>
      <c r="D4" s="42" t="e">
        <f>VLOOKUP(Table12[[#This Row],[نوع داوری ]],$P$1:$Q$7,2,0)</f>
        <v>#N/A</v>
      </c>
      <c r="E4" s="42" t="str">
        <f>IF(ISNUMBER(Table12[[#This Row],[امتیاز ]]),Table12[[#This Row],[امتیاز ]]," ")</f>
        <v xml:space="preserve"> </v>
      </c>
      <c r="P4" s="2" t="s">
        <v>142</v>
      </c>
      <c r="Q4" s="2">
        <v>1</v>
      </c>
    </row>
    <row r="5" spans="1:17" ht="57" customHeight="1" x14ac:dyDescent="0.25">
      <c r="A5" s="22"/>
      <c r="B5" s="22"/>
      <c r="C5" s="22"/>
      <c r="D5" s="42" t="e">
        <f>VLOOKUP(Table12[[#This Row],[نوع داوری ]],$P$1:$Q$7,2,0)</f>
        <v>#N/A</v>
      </c>
      <c r="E5" s="42" t="str">
        <f>IF(ISNUMBER(Table12[[#This Row],[امتیاز ]]),Table12[[#This Row],[امتیاز ]]," ")</f>
        <v xml:space="preserve"> </v>
      </c>
      <c r="P5" s="2" t="s">
        <v>143</v>
      </c>
      <c r="Q5" s="2">
        <v>2</v>
      </c>
    </row>
    <row r="6" spans="1:17" ht="57" customHeight="1" x14ac:dyDescent="0.25">
      <c r="A6" s="22"/>
      <c r="B6" s="22"/>
      <c r="C6" s="22"/>
      <c r="D6" s="42" t="e">
        <f>VLOOKUP(Table12[[#This Row],[نوع داوری ]],$P$1:$Q$7,2,0)</f>
        <v>#N/A</v>
      </c>
      <c r="E6" s="42" t="str">
        <f>IF(ISNUMBER(Table12[[#This Row],[امتیاز ]]),Table12[[#This Row],[امتیاز ]]," ")</f>
        <v xml:space="preserve"> </v>
      </c>
      <c r="P6" s="2" t="s">
        <v>144</v>
      </c>
      <c r="Q6" s="2">
        <v>1</v>
      </c>
    </row>
    <row r="7" spans="1:17" ht="57" customHeight="1" x14ac:dyDescent="0.25">
      <c r="A7" s="22"/>
      <c r="B7" s="22"/>
      <c r="C7" s="22"/>
      <c r="D7" s="42" t="e">
        <f>VLOOKUP(Table12[[#This Row],[نوع داوری ]],$P$1:$Q$7,2,0)</f>
        <v>#N/A</v>
      </c>
      <c r="E7" s="42" t="str">
        <f>IF(ISNUMBER(Table12[[#This Row],[امتیاز ]]),Table12[[#This Row],[امتیاز ]]," ")</f>
        <v xml:space="preserve"> </v>
      </c>
      <c r="P7" s="2" t="s">
        <v>145</v>
      </c>
      <c r="Q7" s="2">
        <v>0.5</v>
      </c>
    </row>
    <row r="8" spans="1:17" ht="57" customHeight="1" x14ac:dyDescent="0.25">
      <c r="A8" s="22"/>
      <c r="B8" s="22"/>
      <c r="C8" s="22"/>
      <c r="D8" s="42" t="e">
        <f>VLOOKUP(Table12[[#This Row],[نوع داوری ]],$P$1:$Q$7,2,0)</f>
        <v>#N/A</v>
      </c>
      <c r="E8" s="42" t="str">
        <f>IF(ISNUMBER(Table12[[#This Row],[امتیاز ]]),Table12[[#This Row],[امتیاز ]]," ")</f>
        <v xml:space="preserve"> </v>
      </c>
    </row>
    <row r="9" spans="1:17" ht="57" customHeight="1" x14ac:dyDescent="0.25">
      <c r="A9" s="22"/>
      <c r="B9" s="22"/>
      <c r="C9" s="22"/>
      <c r="D9" s="42" t="e">
        <f>VLOOKUP(Table12[[#This Row],[نوع داوری ]],$P$1:$Q$7,2,0)</f>
        <v>#N/A</v>
      </c>
      <c r="E9" s="42" t="str">
        <f>IF(ISNUMBER(Table12[[#This Row],[امتیاز ]]),Table12[[#This Row],[امتیاز ]]," ")</f>
        <v xml:space="preserve"> </v>
      </c>
    </row>
    <row r="10" spans="1:17" ht="57" customHeight="1" x14ac:dyDescent="0.25">
      <c r="A10" s="22"/>
      <c r="B10" s="22"/>
      <c r="C10" s="22"/>
      <c r="D10" s="42" t="e">
        <f>VLOOKUP(Table12[[#This Row],[نوع داوری ]],$P$1:$Q$7,2,0)</f>
        <v>#N/A</v>
      </c>
      <c r="E10" s="42" t="str">
        <f>IF(ISNUMBER(Table12[[#This Row],[امتیاز ]]),Table12[[#This Row],[امتیاز ]]," ")</f>
        <v xml:space="preserve"> </v>
      </c>
    </row>
    <row r="11" spans="1:17" ht="57" customHeight="1" x14ac:dyDescent="0.25">
      <c r="A11" s="22"/>
      <c r="B11" s="22"/>
      <c r="C11" s="22"/>
      <c r="D11" s="42" t="e">
        <f>VLOOKUP(Table12[[#This Row],[نوع داوری ]],$P$1:$Q$7,2,0)</f>
        <v>#N/A</v>
      </c>
      <c r="E11" s="42" t="str">
        <f>IF(ISNUMBER(Table12[[#This Row],[امتیاز ]]),Table12[[#This Row],[امتیاز ]]," ")</f>
        <v xml:space="preserve"> </v>
      </c>
    </row>
    <row r="12" spans="1:17" ht="57" customHeight="1" x14ac:dyDescent="0.25">
      <c r="A12" s="22"/>
      <c r="B12" s="22"/>
      <c r="C12" s="22"/>
      <c r="D12" s="42" t="e">
        <f>VLOOKUP(Table12[[#This Row],[نوع داوری ]],$P$1:$Q$7,2,0)</f>
        <v>#N/A</v>
      </c>
      <c r="E12" s="42" t="str">
        <f>IF(ISNUMBER(Table12[[#This Row],[امتیاز ]]),Table12[[#This Row],[امتیاز ]]," ")</f>
        <v xml:space="preserve"> </v>
      </c>
    </row>
    <row r="13" spans="1:17" ht="57" customHeight="1" x14ac:dyDescent="0.25">
      <c r="A13" s="22"/>
      <c r="B13" s="22"/>
      <c r="C13" s="22"/>
      <c r="D13" s="42" t="e">
        <f>VLOOKUP(Table12[[#This Row],[نوع داوری ]],$P$1:$Q$7,2,0)</f>
        <v>#N/A</v>
      </c>
      <c r="E13" s="42" t="str">
        <f>IF(ISNUMBER(Table12[[#This Row],[امتیاز ]]),Table12[[#This Row],[امتیاز ]]," ")</f>
        <v xml:space="preserve"> </v>
      </c>
    </row>
    <row r="14" spans="1:17" ht="57" customHeight="1" x14ac:dyDescent="0.25">
      <c r="A14" s="22"/>
      <c r="B14" s="22"/>
      <c r="C14" s="22"/>
      <c r="D14" s="42" t="e">
        <f>VLOOKUP(Table12[[#This Row],[نوع داوری ]],$P$1:$Q$7,2,0)</f>
        <v>#N/A</v>
      </c>
      <c r="E14" s="42" t="str">
        <f>IF(ISNUMBER(Table12[[#This Row],[امتیاز ]]),Table12[[#This Row],[امتیاز ]]," ")</f>
        <v xml:space="preserve"> </v>
      </c>
    </row>
    <row r="15" spans="1:17" ht="57" customHeight="1" x14ac:dyDescent="0.25">
      <c r="A15" s="22"/>
      <c r="B15" s="22"/>
      <c r="C15" s="22"/>
      <c r="D15" s="42" t="e">
        <f>VLOOKUP(Table12[[#This Row],[نوع داوری ]],$P$1:$Q$7,2,0)</f>
        <v>#N/A</v>
      </c>
      <c r="E15" s="42" t="str">
        <f>IF(ISNUMBER(Table12[[#This Row],[امتیاز ]]),Table12[[#This Row],[امتیاز ]]," ")</f>
        <v xml:space="preserve"> </v>
      </c>
    </row>
    <row r="16" spans="1:17" ht="57" customHeight="1" x14ac:dyDescent="0.25">
      <c r="A16" s="22"/>
      <c r="B16" s="22"/>
      <c r="C16" s="22"/>
      <c r="D16" s="42" t="e">
        <f>VLOOKUP(Table12[[#This Row],[نوع داوری ]],$P$1:$Q$7,2,0)</f>
        <v>#N/A</v>
      </c>
      <c r="E16" s="42" t="str">
        <f>IF(ISNUMBER(Table12[[#This Row],[امتیاز ]]),Table12[[#This Row],[امتیاز ]]," ")</f>
        <v xml:space="preserve"> </v>
      </c>
    </row>
    <row r="17" spans="1:5" ht="57" customHeight="1" x14ac:dyDescent="0.25">
      <c r="A17" s="22"/>
      <c r="B17" s="22"/>
      <c r="C17" s="22"/>
      <c r="D17" s="42" t="e">
        <f>VLOOKUP(Table12[[#This Row],[نوع داوری ]],$P$1:$Q$7,2,0)</f>
        <v>#N/A</v>
      </c>
      <c r="E17" s="42" t="str">
        <f>IF(ISNUMBER(Table12[[#This Row],[امتیاز ]]),Table12[[#This Row],[امتیاز ]]," ")</f>
        <v xml:space="preserve"> </v>
      </c>
    </row>
    <row r="18" spans="1:5" ht="57" customHeight="1" x14ac:dyDescent="0.25">
      <c r="A18" s="22"/>
      <c r="B18" s="22"/>
      <c r="C18" s="22"/>
      <c r="D18" s="42" t="e">
        <f>VLOOKUP(Table12[[#This Row],[نوع داوری ]],$P$1:$Q$7,2,0)</f>
        <v>#N/A</v>
      </c>
      <c r="E18" s="42" t="str">
        <f>IF(ISNUMBER(Table12[[#This Row],[امتیاز ]]),Table12[[#This Row],[امتیاز ]]," ")</f>
        <v xml:space="preserve"> </v>
      </c>
    </row>
    <row r="19" spans="1:5" ht="57" customHeight="1" x14ac:dyDescent="0.25">
      <c r="B19" s="2" t="s">
        <v>44</v>
      </c>
      <c r="D19" s="47" t="e">
        <f>VLOOKUP(Table12[[#This Row],[نوع داوری ]],$P$1:$Q$7,2,0)</f>
        <v>#N/A</v>
      </c>
      <c r="E19" s="47">
        <f>SUM(E2:E18)</f>
        <v>0</v>
      </c>
    </row>
  </sheetData>
  <sheetProtection algorithmName="SHA-512" hashValue="xWx0sY3aou8FeYjrokVTvk1WuVdIeZ3PxrBQh9vNCrXcbC3WB41YBb4x8tqrM3yjsuOo6FjPdzgdQlGHVac9Xw==" saltValue="+7YTAeRau492JQ7a3GYE8g==" spinCount="100000" sheet="1" scenarios="1"/>
  <dataValidations count="1">
    <dataValidation type="list" allowBlank="1" showInputMessage="1" showErrorMessage="1" sqref="C2:C18">
      <formula1>$P$1:$P$7</formula1>
    </dataValidation>
  </dataValidation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H2" sqref="H2"/>
    </sheetView>
  </sheetViews>
  <sheetFormatPr defaultRowHeight="45.75" customHeight="1" x14ac:dyDescent="0.25"/>
  <cols>
    <col min="1" max="1" width="9.140625" style="2"/>
    <col min="2" max="2" width="59" style="2" customWidth="1"/>
    <col min="3" max="3" width="21.42578125" style="2" customWidth="1"/>
    <col min="4" max="4" width="23" style="2" customWidth="1"/>
    <col min="5" max="5" width="13.85546875" style="2" hidden="1" customWidth="1"/>
    <col min="6" max="6" width="10.5703125" style="2" customWidth="1"/>
    <col min="7" max="7" width="30.5703125" style="2" customWidth="1"/>
    <col min="8" max="11" width="9.140625" style="2"/>
    <col min="12" max="12" width="14.5703125" style="2" customWidth="1"/>
    <col min="13" max="13" width="8.42578125" style="2" customWidth="1"/>
    <col min="14" max="14" width="5.85546875" style="2" customWidth="1"/>
    <col min="15" max="15" width="9.140625" style="2" customWidth="1"/>
    <col min="16" max="16" width="29.42578125" style="2" hidden="1" customWidth="1"/>
    <col min="17" max="17" width="9.140625" style="2" hidden="1" customWidth="1"/>
    <col min="18" max="16384" width="9.140625" style="2"/>
  </cols>
  <sheetData>
    <row r="1" spans="1:17" ht="45.75" customHeight="1" thickBot="1" x14ac:dyDescent="0.3">
      <c r="A1" s="5" t="s">
        <v>5</v>
      </c>
      <c r="B1" s="5" t="s">
        <v>42</v>
      </c>
      <c r="C1" s="1" t="s">
        <v>79</v>
      </c>
      <c r="D1" s="1" t="s">
        <v>160</v>
      </c>
      <c r="E1" s="1" t="s">
        <v>35</v>
      </c>
      <c r="F1" s="1" t="s">
        <v>43</v>
      </c>
      <c r="G1" s="1" t="s">
        <v>46</v>
      </c>
      <c r="P1" s="16" t="s">
        <v>152</v>
      </c>
      <c r="Q1" s="17">
        <v>1.5</v>
      </c>
    </row>
    <row r="2" spans="1:17" ht="45.75" customHeight="1" thickBot="1" x14ac:dyDescent="0.3">
      <c r="A2" s="22"/>
      <c r="B2" s="22"/>
      <c r="C2" s="22"/>
      <c r="D2" s="22"/>
      <c r="E2" s="42" t="e">
        <f>VLOOKUP(Table2[[#This Row],[ نقش  پژوهشگر و مقطع دانشجو]],$P$1:$Q$9,2,0)</f>
        <v>#N/A</v>
      </c>
      <c r="F2" s="42" t="str">
        <f>IF(ISNUMBER(Table2[[#This Row],[امتیاز اولیه]]),Table2[[#This Row],[امتیاز اولیه]]," ")</f>
        <v xml:space="preserve"> </v>
      </c>
      <c r="G2" s="22"/>
      <c r="P2" s="18" t="s">
        <v>153</v>
      </c>
      <c r="Q2" s="19">
        <v>1.5</v>
      </c>
    </row>
    <row r="3" spans="1:17" ht="45.75" customHeight="1" thickBot="1" x14ac:dyDescent="0.3">
      <c r="A3" s="22"/>
      <c r="B3" s="22"/>
      <c r="C3" s="22"/>
      <c r="D3" s="22"/>
      <c r="E3" s="42" t="e">
        <f>VLOOKUP(Table2[[#This Row],[ نقش  پژوهشگر و مقطع دانشجو]],#REF!,2,0)</f>
        <v>#REF!</v>
      </c>
      <c r="F3" s="42" t="str">
        <f>IF(ISNUMBER(Table2[[#This Row],[امتیاز اولیه]]),Table2[[#This Row],[امتیاز اولیه]]," ")</f>
        <v xml:space="preserve"> </v>
      </c>
      <c r="G3" s="22"/>
      <c r="P3" s="18" t="s">
        <v>154</v>
      </c>
      <c r="Q3" s="19">
        <v>2</v>
      </c>
    </row>
    <row r="4" spans="1:17" ht="45.75" customHeight="1" thickBot="1" x14ac:dyDescent="0.3">
      <c r="A4" s="22"/>
      <c r="B4" s="22"/>
      <c r="C4" s="22"/>
      <c r="D4" s="22"/>
      <c r="E4" s="42" t="e">
        <f>IF(AND(#REF!=$M$1,D4=#REF!),1,0.5)</f>
        <v>#REF!</v>
      </c>
      <c r="F4" s="42" t="str">
        <f>IF(ISNUMBER(Table2[[#This Row],[امتیاز اولیه]]),Table2[[#This Row],[امتیاز اولیه]]," ")</f>
        <v xml:space="preserve"> </v>
      </c>
      <c r="G4" s="22"/>
      <c r="P4" s="18" t="s">
        <v>155</v>
      </c>
      <c r="Q4" s="19">
        <v>2</v>
      </c>
    </row>
    <row r="5" spans="1:17" ht="45.75" customHeight="1" thickBot="1" x14ac:dyDescent="0.3">
      <c r="A5" s="22"/>
      <c r="B5" s="22"/>
      <c r="C5" s="22"/>
      <c r="D5" s="22"/>
      <c r="E5" s="42" t="e">
        <f>IF(AND(#REF!=$M$1,D5=#REF!),1,0.5)</f>
        <v>#REF!</v>
      </c>
      <c r="F5" s="42" t="str">
        <f>IF(ISNUMBER(Table2[[#This Row],[امتیاز اولیه]]),Table2[[#This Row],[امتیاز اولیه]]," ")</f>
        <v xml:space="preserve"> </v>
      </c>
      <c r="G5" s="22"/>
      <c r="P5" s="16" t="s">
        <v>156</v>
      </c>
      <c r="Q5" s="20">
        <v>0.75</v>
      </c>
    </row>
    <row r="6" spans="1:17" ht="45.75" customHeight="1" thickBot="1" x14ac:dyDescent="0.3">
      <c r="A6" s="22"/>
      <c r="B6" s="22"/>
      <c r="C6" s="22"/>
      <c r="D6" s="22"/>
      <c r="E6" s="42" t="e">
        <f>IF(AND(#REF!=$M$1,D6=#REF!),1,0.5)</f>
        <v>#REF!</v>
      </c>
      <c r="F6" s="42" t="str">
        <f>IF(ISNUMBER(Table2[[#This Row],[امتیاز اولیه]]),Table2[[#This Row],[امتیاز اولیه]]," ")</f>
        <v xml:space="preserve"> </v>
      </c>
      <c r="G6" s="22"/>
      <c r="P6" s="18" t="s">
        <v>157</v>
      </c>
      <c r="Q6" s="20">
        <v>0.75</v>
      </c>
    </row>
    <row r="7" spans="1:17" ht="45.75" customHeight="1" thickBot="1" x14ac:dyDescent="0.3">
      <c r="A7" s="22"/>
      <c r="B7" s="22"/>
      <c r="C7" s="22"/>
      <c r="D7" s="22"/>
      <c r="E7" s="42" t="e">
        <f>IF(AND(#REF!=$M$1,D7=#REF!),1,0.5)</f>
        <v>#REF!</v>
      </c>
      <c r="F7" s="42" t="str">
        <f>IF(ISNUMBER(Table2[[#This Row],[امتیاز اولیه]]),Table2[[#This Row],[امتیاز اولیه]]," ")</f>
        <v xml:space="preserve"> </v>
      </c>
      <c r="G7" s="22"/>
      <c r="P7" s="18" t="s">
        <v>158</v>
      </c>
      <c r="Q7" s="20">
        <v>1</v>
      </c>
    </row>
    <row r="8" spans="1:17" ht="45.75" customHeight="1" thickBot="1" x14ac:dyDescent="0.3">
      <c r="A8" s="22"/>
      <c r="B8" s="22"/>
      <c r="C8" s="22"/>
      <c r="D8" s="22"/>
      <c r="E8" s="42" t="e">
        <f>IF(AND(#REF!=$M$1,D8=#REF!),1,0.5)</f>
        <v>#REF!</v>
      </c>
      <c r="F8" s="42" t="str">
        <f>IF(ISNUMBER(Table2[[#This Row],[امتیاز اولیه]]),Table2[[#This Row],[امتیاز اولیه]]," ")</f>
        <v xml:space="preserve"> </v>
      </c>
      <c r="G8" s="22"/>
      <c r="P8" s="18" t="s">
        <v>159</v>
      </c>
      <c r="Q8" s="20">
        <v>1</v>
      </c>
    </row>
    <row r="9" spans="1:17" ht="45.75" customHeight="1" x14ac:dyDescent="0.25">
      <c r="A9" s="22"/>
      <c r="B9" s="22"/>
      <c r="C9" s="22"/>
      <c r="D9" s="22"/>
      <c r="E9" s="42" t="e">
        <f>IF(AND(#REF!=$M$1,D9=#REF!),1,0.5)</f>
        <v>#REF!</v>
      </c>
      <c r="F9" s="42" t="str">
        <f>IF(ISNUMBER(Table2[[#This Row],[امتیاز اولیه]]),Table2[[#This Row],[امتیاز اولیه]]," ")</f>
        <v xml:space="preserve"> </v>
      </c>
      <c r="G9" s="22"/>
      <c r="P9" s="21" t="s">
        <v>161</v>
      </c>
      <c r="Q9" s="20">
        <v>1</v>
      </c>
    </row>
    <row r="10" spans="1:17" ht="45.75" customHeight="1" x14ac:dyDescent="0.25">
      <c r="A10" s="22"/>
      <c r="B10" s="22"/>
      <c r="C10" s="22"/>
      <c r="D10" s="22"/>
      <c r="E10" s="42" t="e">
        <f>IF(AND(#REF!=$M$1,D10=#REF!),1,0.5)</f>
        <v>#REF!</v>
      </c>
      <c r="F10" s="42" t="str">
        <f>IF(ISNUMBER(Table2[[#This Row],[امتیاز اولیه]]),Table2[[#This Row],[امتیاز اولیه]]," ")</f>
        <v xml:space="preserve"> </v>
      </c>
      <c r="G10" s="22"/>
    </row>
    <row r="11" spans="1:17" ht="45.75" customHeight="1" x14ac:dyDescent="0.25">
      <c r="A11" s="22" t="s">
        <v>44</v>
      </c>
      <c r="B11" s="22"/>
      <c r="C11" s="22"/>
      <c r="D11" s="22"/>
      <c r="E11" s="46" t="e">
        <f>IF(AND(#REF!=$M$1,D11=#REF!),1,0.5)</f>
        <v>#REF!</v>
      </c>
      <c r="F11" s="42">
        <f>SUM(F2:F10)</f>
        <v>0</v>
      </c>
      <c r="G11" s="22"/>
    </row>
    <row r="12" spans="1:17" ht="45.75" customHeight="1" x14ac:dyDescent="0.25">
      <c r="A12" s="22" t="s">
        <v>45</v>
      </c>
      <c r="B12" s="22"/>
      <c r="C12" s="22"/>
      <c r="D12" s="22"/>
      <c r="E12" s="46" t="e">
        <f>IF(AND(#REF!=$M$1,D12=#REF!),1,0.5)</f>
        <v>#REF!</v>
      </c>
      <c r="F12" s="42">
        <f>SUM(F2:F10)</f>
        <v>0</v>
      </c>
      <c r="G12" s="22"/>
    </row>
  </sheetData>
  <sheetProtection sheet="1" scenarios="1"/>
  <dataValidations count="2">
    <dataValidation type="list" allowBlank="1" showInputMessage="1" showErrorMessage="1" sqref="D3:D12">
      <formula1>#REF!</formula1>
    </dataValidation>
    <dataValidation type="list" allowBlank="1" showInputMessage="1" showErrorMessage="1" sqref="D2">
      <formula1>$P$1:$P$9</formula1>
    </dataValidation>
  </dataValidations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>
      <selection activeCell="F2" sqref="F2"/>
    </sheetView>
  </sheetViews>
  <sheetFormatPr defaultRowHeight="44.25" customHeight="1" x14ac:dyDescent="0.25"/>
  <cols>
    <col min="1" max="1" width="11" style="2" customWidth="1"/>
    <col min="2" max="2" width="45.42578125" style="2" customWidth="1"/>
    <col min="3" max="3" width="9.140625" style="2"/>
    <col min="4" max="4" width="0" style="2" hidden="1" customWidth="1"/>
    <col min="5" max="14" width="9.140625" style="2"/>
    <col min="15" max="16" width="0" style="2" hidden="1" customWidth="1"/>
    <col min="17" max="16384" width="9.140625" style="2"/>
  </cols>
  <sheetData>
    <row r="1" spans="1:16" ht="44.25" customHeight="1" x14ac:dyDescent="0.25">
      <c r="A1" s="5" t="s">
        <v>5</v>
      </c>
      <c r="B1" s="5" t="s">
        <v>193</v>
      </c>
      <c r="C1" s="5" t="s">
        <v>194</v>
      </c>
      <c r="D1" s="5" t="s">
        <v>50</v>
      </c>
      <c r="E1" s="5" t="s">
        <v>40</v>
      </c>
      <c r="O1" s="2" t="s">
        <v>195</v>
      </c>
      <c r="P1" s="2">
        <v>3</v>
      </c>
    </row>
    <row r="2" spans="1:16" ht="44.25" customHeight="1" x14ac:dyDescent="0.25">
      <c r="A2" s="22"/>
      <c r="B2" s="22"/>
      <c r="C2" s="22"/>
      <c r="D2" s="22" t="e">
        <f>VLOOKUP(Table6[[#This Row],[نقش]],$O$1:$P$4,2,0)</f>
        <v>#N/A</v>
      </c>
      <c r="E2" s="22" t="str">
        <f>IF(ISNUMBER(Table6[[#This Row],[امتیاز ]]),Table6[[#This Row],[امتیاز ]]," ")</f>
        <v xml:space="preserve"> </v>
      </c>
      <c r="O2" s="2" t="s">
        <v>196</v>
      </c>
      <c r="P2" s="2">
        <v>2</v>
      </c>
    </row>
    <row r="3" spans="1:16" ht="44.25" customHeight="1" x14ac:dyDescent="0.25">
      <c r="A3" s="22"/>
      <c r="B3" s="22"/>
      <c r="C3" s="22"/>
      <c r="D3" s="22" t="e">
        <f>VLOOKUP(Table6[[#This Row],[نقش]],$O$1:$P$4,2,0)</f>
        <v>#N/A</v>
      </c>
      <c r="E3" s="22" t="str">
        <f>IF(ISNUMBER(Table6[[#This Row],[امتیاز ]]),Table6[[#This Row],[امتیاز ]]," ")</f>
        <v xml:space="preserve"> </v>
      </c>
      <c r="O3" s="2" t="s">
        <v>197</v>
      </c>
      <c r="P3" s="2">
        <v>0.5</v>
      </c>
    </row>
    <row r="4" spans="1:16" ht="44.25" customHeight="1" x14ac:dyDescent="0.25">
      <c r="A4" s="22"/>
      <c r="B4" s="22"/>
      <c r="C4" s="22"/>
      <c r="D4" s="22" t="e">
        <f>VLOOKUP(Table6[[#This Row],[نقش]],$O$1:$P$4,2,0)</f>
        <v>#N/A</v>
      </c>
      <c r="E4" s="22" t="str">
        <f>IF(ISNUMBER(Table6[[#This Row],[امتیاز ]]),Table6[[#This Row],[امتیاز ]]," ")</f>
        <v xml:space="preserve"> </v>
      </c>
      <c r="O4" s="2" t="s">
        <v>198</v>
      </c>
      <c r="P4" s="2">
        <v>0.5</v>
      </c>
    </row>
    <row r="5" spans="1:16" ht="44.25" customHeight="1" x14ac:dyDescent="0.25">
      <c r="A5" s="22"/>
      <c r="B5" s="22"/>
      <c r="C5" s="22"/>
      <c r="D5" s="22" t="e">
        <f>VLOOKUP(Table6[[#This Row],[نقش]],$O$1:$P$4,2,0)</f>
        <v>#N/A</v>
      </c>
      <c r="E5" s="22" t="str">
        <f>IF(ISNUMBER(Table6[[#This Row],[امتیاز ]]),Table6[[#This Row],[امتیاز ]]," ")</f>
        <v xml:space="preserve"> </v>
      </c>
    </row>
    <row r="6" spans="1:16" ht="44.25" customHeight="1" x14ac:dyDescent="0.25">
      <c r="A6" s="22"/>
      <c r="B6" s="22" t="s">
        <v>44</v>
      </c>
      <c r="C6" s="22"/>
      <c r="D6" s="22" t="e">
        <f>VLOOKUP(Table6[[#This Row],[نقش]],$O$1:$P$4,2,0)</f>
        <v>#N/A</v>
      </c>
      <c r="E6" s="22">
        <f>SUM(E2:E5)</f>
        <v>0</v>
      </c>
    </row>
  </sheetData>
  <sheetProtection algorithmName="SHA-512" hashValue="KKIRK23DRR/T7IpTQSBXUxJWbl7V2rOhjuvjZ0Z6NdwlJgeaHI4eTwn7OsSkG9ffhGxBI+9bG6dDNJwY2lM2RA==" saltValue="qYHVsn9NlOC+shy1S7zfDA==" spinCount="100000" sheet="1" scenarios="1"/>
  <dataValidations count="1">
    <dataValidation type="list" allowBlank="1" showInputMessage="1" showErrorMessage="1" sqref="C2:C5">
      <formula1>$O$1:$O$4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H13" sqref="H13"/>
    </sheetView>
  </sheetViews>
  <sheetFormatPr defaultRowHeight="15" x14ac:dyDescent="0.25"/>
  <cols>
    <col min="1" max="1" width="29.7109375" customWidth="1"/>
    <col min="2" max="3" width="21.42578125" customWidth="1"/>
    <col min="4" max="4" width="35" customWidth="1"/>
  </cols>
  <sheetData>
    <row r="1" spans="1:4" x14ac:dyDescent="0.25">
      <c r="B1" t="s">
        <v>191</v>
      </c>
      <c r="C1" t="s">
        <v>192</v>
      </c>
      <c r="D1" t="s">
        <v>74</v>
      </c>
    </row>
    <row r="2" spans="1:4" x14ac:dyDescent="0.25">
      <c r="A2" t="s">
        <v>168</v>
      </c>
      <c r="D2" t="s">
        <v>171</v>
      </c>
    </row>
    <row r="3" spans="1:4" x14ac:dyDescent="0.25">
      <c r="A3" t="s">
        <v>169</v>
      </c>
    </row>
    <row r="4" spans="1:4" x14ac:dyDescent="0.25">
      <c r="A4" t="s">
        <v>170</v>
      </c>
    </row>
  </sheetData>
  <sheetProtection algorithmName="SHA-512" hashValue="R7iBg9cD15EQ9j9sI+pAB2f1DITMatmaGXZBa6mtG/6/bqXbcYlrcadKzmCs8zVAGXwcKhwoHlWND0Qh7HmdQg==" saltValue="s1eCF2VKKdd9Vb7z4bQKgg==" spinCount="100000" sheet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workbookViewId="0">
      <selection activeCell="D3" sqref="D3:G4"/>
    </sheetView>
  </sheetViews>
  <sheetFormatPr defaultRowHeight="37.5" customHeight="1" x14ac:dyDescent="0.25"/>
  <cols>
    <col min="1" max="1" width="12.140625" style="2" customWidth="1"/>
    <col min="2" max="2" width="48.42578125" style="2" customWidth="1"/>
    <col min="3" max="3" width="20.42578125" style="2" customWidth="1"/>
    <col min="4" max="4" width="15.28515625" style="2" customWidth="1"/>
    <col min="5" max="5" width="12.5703125" style="2" customWidth="1"/>
    <col min="6" max="7" width="17.28515625" style="4" customWidth="1"/>
    <col min="8" max="8" width="15.140625" style="2" hidden="1" customWidth="1"/>
    <col min="9" max="10" width="12.5703125" style="2" hidden="1" customWidth="1"/>
    <col min="11" max="11" width="8.42578125" style="2" hidden="1" customWidth="1"/>
    <col min="12" max="12" width="14.5703125" style="2" customWidth="1"/>
    <col min="13" max="13" width="26.140625" style="2" customWidth="1"/>
    <col min="14" max="17" width="9.28515625" style="2" customWidth="1"/>
    <col min="18" max="18" width="12.28515625" style="2" customWidth="1"/>
    <col min="19" max="19" width="10.140625" style="2" customWidth="1"/>
    <col min="20" max="20" width="11.85546875" style="2" customWidth="1"/>
    <col min="21" max="21" width="9.140625" style="2" hidden="1" customWidth="1"/>
    <col min="22" max="22" width="28.140625" style="2" hidden="1" customWidth="1"/>
    <col min="23" max="23" width="9.140625" style="2" hidden="1" customWidth="1"/>
    <col min="24" max="16384" width="9.140625" style="2"/>
  </cols>
  <sheetData>
    <row r="1" spans="1:23" ht="51.75" customHeight="1" x14ac:dyDescent="0.25">
      <c r="A1" s="1" t="s">
        <v>90</v>
      </c>
      <c r="B1" s="1" t="s">
        <v>88</v>
      </c>
      <c r="C1" s="1" t="s">
        <v>182</v>
      </c>
      <c r="D1" s="1" t="s">
        <v>97</v>
      </c>
      <c r="E1" s="1" t="s">
        <v>89</v>
      </c>
      <c r="F1" s="1" t="s">
        <v>91</v>
      </c>
      <c r="G1" s="1" t="s">
        <v>199</v>
      </c>
      <c r="H1" s="1" t="s">
        <v>96</v>
      </c>
      <c r="I1" s="1" t="s">
        <v>101</v>
      </c>
      <c r="J1" s="1" t="s">
        <v>202</v>
      </c>
      <c r="K1" s="1" t="s">
        <v>35</v>
      </c>
      <c r="L1" s="1" t="s">
        <v>40</v>
      </c>
      <c r="M1" s="1" t="s">
        <v>66</v>
      </c>
      <c r="N1" s="1"/>
      <c r="O1" s="1"/>
      <c r="P1" s="1"/>
      <c r="Q1" s="1"/>
      <c r="R1" s="1"/>
      <c r="S1" s="1"/>
      <c r="T1" s="1"/>
      <c r="U1" s="1" t="s">
        <v>200</v>
      </c>
      <c r="V1" s="40" t="s">
        <v>92</v>
      </c>
      <c r="W1" s="2">
        <v>1.5</v>
      </c>
    </row>
    <row r="2" spans="1:23" ht="37.5" customHeight="1" x14ac:dyDescent="0.25">
      <c r="A2" s="22"/>
      <c r="B2" s="22"/>
      <c r="C2" s="22"/>
      <c r="D2" s="22"/>
      <c r="E2" s="22"/>
      <c r="F2" s="23"/>
      <c r="G2" s="23"/>
      <c r="H2" s="42" t="e">
        <f t="shared" ref="H2:H25" si="0">VLOOKUP(F2,$V$1:$W$4,2,0)</f>
        <v>#N/A</v>
      </c>
      <c r="I2" s="42" t="e">
        <f t="shared" ref="I2:I25" si="1">VLOOKUP(D2,$V$7:$W$9,2,0)</f>
        <v>#N/A</v>
      </c>
      <c r="J2" s="42">
        <f t="shared" ref="J2:J25" si="2">IF(G2="نظری",1,IF(G2="عملی",1.5,0))</f>
        <v>0</v>
      </c>
      <c r="K2" s="42" t="e">
        <f t="shared" ref="K2:K25" si="3">E2*H2*I2*J2</f>
        <v>#N/A</v>
      </c>
      <c r="L2" s="42" t="str">
        <f>IF(ISNUMBER(Table8[[#This Row],[امتیاز اولیه]]),Table8[[#This Row],[امتیاز اولیه]]," ")</f>
        <v xml:space="preserve"> </v>
      </c>
      <c r="M2" s="37"/>
      <c r="N2" s="3"/>
      <c r="O2" s="3"/>
      <c r="P2" s="3"/>
      <c r="Q2" s="3"/>
      <c r="R2" s="3"/>
      <c r="S2" s="3"/>
      <c r="T2" s="3"/>
      <c r="U2" s="41" t="s">
        <v>201</v>
      </c>
      <c r="V2" s="4" t="s">
        <v>94</v>
      </c>
      <c r="W2" s="2">
        <v>1</v>
      </c>
    </row>
    <row r="3" spans="1:23" ht="37.5" customHeight="1" x14ac:dyDescent="0.25">
      <c r="A3" s="22"/>
      <c r="B3" s="22"/>
      <c r="C3" s="22"/>
      <c r="D3" s="22"/>
      <c r="E3" s="22"/>
      <c r="F3" s="23"/>
      <c r="G3" s="23"/>
      <c r="H3" s="42" t="e">
        <f t="shared" si="0"/>
        <v>#N/A</v>
      </c>
      <c r="I3" s="42" t="e">
        <f t="shared" si="1"/>
        <v>#N/A</v>
      </c>
      <c r="J3" s="42">
        <f t="shared" si="2"/>
        <v>0</v>
      </c>
      <c r="K3" s="42" t="e">
        <f t="shared" si="3"/>
        <v>#N/A</v>
      </c>
      <c r="L3" s="42" t="str">
        <f>IF(ISNUMBER(Table8[[#This Row],[امتیاز اولیه]]),Table8[[#This Row],[امتیاز اولیه]]," ")</f>
        <v xml:space="preserve"> </v>
      </c>
      <c r="M3" s="37"/>
      <c r="N3" s="3"/>
      <c r="O3" s="3"/>
      <c r="P3" s="3"/>
      <c r="Q3" s="3"/>
      <c r="R3" s="3"/>
      <c r="S3" s="3"/>
      <c r="T3" s="3"/>
      <c r="U3" s="3"/>
      <c r="V3" s="40" t="s">
        <v>93</v>
      </c>
      <c r="W3" s="2">
        <v>0.5</v>
      </c>
    </row>
    <row r="4" spans="1:23" ht="37.5" customHeight="1" x14ac:dyDescent="0.25">
      <c r="A4" s="22"/>
      <c r="B4" s="22"/>
      <c r="C4" s="22"/>
      <c r="D4" s="22"/>
      <c r="E4" s="22"/>
      <c r="F4" s="23"/>
      <c r="G4" s="23"/>
      <c r="H4" s="42" t="e">
        <f t="shared" si="0"/>
        <v>#N/A</v>
      </c>
      <c r="I4" s="42" t="e">
        <f t="shared" si="1"/>
        <v>#N/A</v>
      </c>
      <c r="J4" s="42">
        <f t="shared" si="2"/>
        <v>0</v>
      </c>
      <c r="K4" s="42" t="e">
        <f t="shared" si="3"/>
        <v>#N/A</v>
      </c>
      <c r="L4" s="42" t="str">
        <f>IF(ISNUMBER(Table8[[#This Row],[امتیاز اولیه]]),Table8[[#This Row],[امتیاز اولیه]]," ")</f>
        <v xml:space="preserve"> </v>
      </c>
      <c r="M4" s="37"/>
      <c r="N4" s="3"/>
      <c r="O4" s="3"/>
      <c r="P4" s="3"/>
      <c r="Q4" s="3"/>
      <c r="R4" s="3"/>
      <c r="S4" s="3"/>
      <c r="T4" s="3"/>
      <c r="U4" s="3"/>
      <c r="V4" s="40" t="s">
        <v>95</v>
      </c>
      <c r="W4" s="2">
        <v>1</v>
      </c>
    </row>
    <row r="5" spans="1:23" ht="37.5" customHeight="1" x14ac:dyDescent="0.25">
      <c r="A5" s="22"/>
      <c r="B5" s="22"/>
      <c r="C5" s="22"/>
      <c r="D5" s="22"/>
      <c r="E5" s="22"/>
      <c r="F5" s="23"/>
      <c r="G5" s="23"/>
      <c r="H5" s="42" t="e">
        <f t="shared" si="0"/>
        <v>#N/A</v>
      </c>
      <c r="I5" s="42" t="e">
        <f t="shared" si="1"/>
        <v>#N/A</v>
      </c>
      <c r="J5" s="42">
        <f t="shared" si="2"/>
        <v>0</v>
      </c>
      <c r="K5" s="42" t="e">
        <f t="shared" si="3"/>
        <v>#N/A</v>
      </c>
      <c r="L5" s="42" t="str">
        <f>IF(ISNUMBER(Table8[[#This Row],[امتیاز اولیه]]),Table8[[#This Row],[امتیاز اولیه]]," ")</f>
        <v xml:space="preserve"> </v>
      </c>
      <c r="M5" s="37"/>
      <c r="N5" s="3"/>
      <c r="O5" s="3"/>
      <c r="P5" s="3"/>
      <c r="Q5" s="3"/>
      <c r="R5" s="3"/>
      <c r="S5" s="3"/>
      <c r="T5" s="3"/>
      <c r="U5" s="3"/>
    </row>
    <row r="6" spans="1:23" ht="37.5" customHeight="1" x14ac:dyDescent="0.25">
      <c r="A6" s="22"/>
      <c r="B6" s="22"/>
      <c r="C6" s="22"/>
      <c r="D6" s="22"/>
      <c r="E6" s="22"/>
      <c r="F6" s="23"/>
      <c r="G6" s="23"/>
      <c r="H6" s="42" t="e">
        <f t="shared" si="0"/>
        <v>#N/A</v>
      </c>
      <c r="I6" s="42" t="e">
        <f t="shared" si="1"/>
        <v>#N/A</v>
      </c>
      <c r="J6" s="42">
        <f t="shared" si="2"/>
        <v>0</v>
      </c>
      <c r="K6" s="42" t="e">
        <f t="shared" si="3"/>
        <v>#N/A</v>
      </c>
      <c r="L6" s="42" t="str">
        <f>IF(ISNUMBER(Table8[[#This Row],[امتیاز اولیه]]),Table8[[#This Row],[امتیاز اولیه]]," ")</f>
        <v xml:space="preserve"> </v>
      </c>
      <c r="M6" s="37"/>
      <c r="N6" s="3"/>
      <c r="O6" s="3"/>
      <c r="P6" s="3"/>
      <c r="Q6" s="3"/>
      <c r="R6" s="3"/>
      <c r="S6" s="3"/>
      <c r="T6" s="3"/>
      <c r="U6" s="3"/>
    </row>
    <row r="7" spans="1:23" ht="37.5" customHeight="1" x14ac:dyDescent="0.25">
      <c r="A7" s="22"/>
      <c r="B7" s="22"/>
      <c r="C7" s="22"/>
      <c r="D7" s="22"/>
      <c r="E7" s="22"/>
      <c r="F7" s="23"/>
      <c r="G7" s="23"/>
      <c r="H7" s="42" t="e">
        <f t="shared" si="0"/>
        <v>#N/A</v>
      </c>
      <c r="I7" s="42" t="e">
        <f t="shared" si="1"/>
        <v>#N/A</v>
      </c>
      <c r="J7" s="42">
        <f t="shared" si="2"/>
        <v>0</v>
      </c>
      <c r="K7" s="42" t="e">
        <f t="shared" si="3"/>
        <v>#N/A</v>
      </c>
      <c r="L7" s="42" t="str">
        <f>IF(ISNUMBER(Table8[[#This Row],[امتیاز اولیه]]),Table8[[#This Row],[امتیاز اولیه]]," ")</f>
        <v xml:space="preserve"> </v>
      </c>
      <c r="M7" s="37"/>
      <c r="N7" s="3"/>
      <c r="O7" s="3"/>
      <c r="P7" s="3"/>
      <c r="Q7" s="3"/>
      <c r="R7" s="3"/>
      <c r="S7" s="3"/>
      <c r="T7" s="3"/>
      <c r="U7" s="3"/>
      <c r="V7" s="4" t="s">
        <v>98</v>
      </c>
      <c r="W7" s="2">
        <v>0.5</v>
      </c>
    </row>
    <row r="8" spans="1:23" ht="37.5" customHeight="1" x14ac:dyDescent="0.25">
      <c r="A8" s="22"/>
      <c r="B8" s="22"/>
      <c r="C8" s="22"/>
      <c r="D8" s="22"/>
      <c r="E8" s="22"/>
      <c r="F8" s="23"/>
      <c r="G8" s="23"/>
      <c r="H8" s="42" t="e">
        <f t="shared" si="0"/>
        <v>#N/A</v>
      </c>
      <c r="I8" s="42" t="e">
        <f t="shared" si="1"/>
        <v>#N/A</v>
      </c>
      <c r="J8" s="42">
        <f t="shared" si="2"/>
        <v>0</v>
      </c>
      <c r="K8" s="42" t="e">
        <f t="shared" si="3"/>
        <v>#N/A</v>
      </c>
      <c r="L8" s="42" t="str">
        <f>IF(ISNUMBER(Table8[[#This Row],[امتیاز اولیه]]),Table8[[#This Row],[امتیاز اولیه]]," ")</f>
        <v xml:space="preserve"> </v>
      </c>
      <c r="M8" s="37"/>
      <c r="N8" s="3"/>
      <c r="O8" s="3"/>
      <c r="P8" s="3"/>
      <c r="Q8" s="3"/>
      <c r="R8" s="3"/>
      <c r="S8" s="3"/>
      <c r="T8" s="3"/>
      <c r="U8" s="3"/>
      <c r="V8" s="4" t="s">
        <v>99</v>
      </c>
      <c r="W8" s="2">
        <v>0.75</v>
      </c>
    </row>
    <row r="9" spans="1:23" ht="37.5" customHeight="1" x14ac:dyDescent="0.25">
      <c r="A9" s="22"/>
      <c r="B9" s="22"/>
      <c r="C9" s="22"/>
      <c r="D9" s="22"/>
      <c r="E9" s="22"/>
      <c r="F9" s="23"/>
      <c r="G9" s="23"/>
      <c r="H9" s="42" t="e">
        <f t="shared" si="0"/>
        <v>#N/A</v>
      </c>
      <c r="I9" s="42" t="e">
        <f t="shared" si="1"/>
        <v>#N/A</v>
      </c>
      <c r="J9" s="42">
        <f t="shared" si="2"/>
        <v>0</v>
      </c>
      <c r="K9" s="42" t="e">
        <f t="shared" si="3"/>
        <v>#N/A</v>
      </c>
      <c r="L9" s="42" t="str">
        <f>IF(ISNUMBER(Table8[[#This Row],[امتیاز اولیه]]),Table8[[#This Row],[امتیاز اولیه]]," ")</f>
        <v xml:space="preserve"> </v>
      </c>
      <c r="M9" s="37"/>
      <c r="N9" s="3"/>
      <c r="O9" s="3"/>
      <c r="P9" s="3"/>
      <c r="Q9" s="3"/>
      <c r="R9" s="3"/>
      <c r="S9" s="3"/>
      <c r="T9" s="3"/>
      <c r="U9" s="3"/>
      <c r="V9" s="4" t="s">
        <v>100</v>
      </c>
      <c r="W9" s="2">
        <v>1</v>
      </c>
    </row>
    <row r="10" spans="1:23" ht="37.5" customHeight="1" x14ac:dyDescent="0.25">
      <c r="A10" s="22"/>
      <c r="B10" s="22"/>
      <c r="C10" s="22"/>
      <c r="D10" s="22"/>
      <c r="E10" s="22"/>
      <c r="F10" s="23"/>
      <c r="G10" s="23"/>
      <c r="H10" s="42" t="e">
        <f t="shared" si="0"/>
        <v>#N/A</v>
      </c>
      <c r="I10" s="42" t="e">
        <f t="shared" si="1"/>
        <v>#N/A</v>
      </c>
      <c r="J10" s="42">
        <f t="shared" si="2"/>
        <v>0</v>
      </c>
      <c r="K10" s="42" t="e">
        <f t="shared" si="3"/>
        <v>#N/A</v>
      </c>
      <c r="L10" s="42" t="str">
        <f>IF(ISNUMBER(Table8[[#This Row],[امتیاز اولیه]]),Table8[[#This Row],[امتیاز اولیه]]," ")</f>
        <v xml:space="preserve"> </v>
      </c>
      <c r="M10" s="37"/>
      <c r="N10" s="3"/>
      <c r="O10" s="3"/>
      <c r="P10" s="3"/>
      <c r="Q10" s="3"/>
      <c r="R10" s="3"/>
      <c r="S10" s="3"/>
      <c r="T10" s="3"/>
      <c r="U10" s="3"/>
    </row>
    <row r="11" spans="1:23" ht="37.5" customHeight="1" x14ac:dyDescent="0.25">
      <c r="A11" s="22"/>
      <c r="B11" s="22"/>
      <c r="C11" s="22"/>
      <c r="D11" s="22"/>
      <c r="E11" s="22"/>
      <c r="F11" s="23"/>
      <c r="G11" s="23"/>
      <c r="H11" s="42" t="e">
        <f t="shared" si="0"/>
        <v>#N/A</v>
      </c>
      <c r="I11" s="42" t="e">
        <f t="shared" si="1"/>
        <v>#N/A</v>
      </c>
      <c r="J11" s="42">
        <f t="shared" si="2"/>
        <v>0</v>
      </c>
      <c r="K11" s="42" t="e">
        <f t="shared" si="3"/>
        <v>#N/A</v>
      </c>
      <c r="L11" s="42" t="str">
        <f>IF(ISNUMBER(Table8[[#This Row],[امتیاز اولیه]]),Table8[[#This Row],[امتیاز اولیه]]," ")</f>
        <v xml:space="preserve"> </v>
      </c>
      <c r="M11" s="37"/>
      <c r="N11" s="3"/>
      <c r="O11" s="3"/>
      <c r="P11" s="3"/>
      <c r="Q11" s="3"/>
      <c r="R11" s="3"/>
      <c r="S11" s="3"/>
      <c r="T11" s="3"/>
      <c r="U11" s="3"/>
    </row>
    <row r="12" spans="1:23" ht="37.5" customHeight="1" x14ac:dyDescent="0.25">
      <c r="A12" s="22"/>
      <c r="B12" s="22"/>
      <c r="C12" s="22"/>
      <c r="D12" s="22"/>
      <c r="E12" s="22"/>
      <c r="F12" s="23"/>
      <c r="G12" s="23"/>
      <c r="H12" s="42" t="e">
        <f t="shared" si="0"/>
        <v>#N/A</v>
      </c>
      <c r="I12" s="42" t="e">
        <f t="shared" si="1"/>
        <v>#N/A</v>
      </c>
      <c r="J12" s="42">
        <f t="shared" si="2"/>
        <v>0</v>
      </c>
      <c r="K12" s="42" t="e">
        <f t="shared" si="3"/>
        <v>#N/A</v>
      </c>
      <c r="L12" s="42" t="str">
        <f>IF(ISNUMBER(Table8[[#This Row],[امتیاز اولیه]]),Table8[[#This Row],[امتیاز اولیه]]," ")</f>
        <v xml:space="preserve"> </v>
      </c>
      <c r="M12" s="37"/>
      <c r="N12" s="3"/>
      <c r="O12" s="3"/>
      <c r="P12" s="3"/>
      <c r="Q12" s="3"/>
      <c r="R12" s="3"/>
      <c r="S12" s="3"/>
      <c r="T12" s="3"/>
      <c r="U12" s="3"/>
    </row>
    <row r="13" spans="1:23" ht="37.5" customHeight="1" x14ac:dyDescent="0.25">
      <c r="A13" s="22"/>
      <c r="B13" s="22"/>
      <c r="C13" s="22"/>
      <c r="D13" s="22"/>
      <c r="E13" s="22"/>
      <c r="F13" s="23"/>
      <c r="G13" s="23"/>
      <c r="H13" s="42" t="e">
        <f t="shared" si="0"/>
        <v>#N/A</v>
      </c>
      <c r="I13" s="42" t="e">
        <f t="shared" si="1"/>
        <v>#N/A</v>
      </c>
      <c r="J13" s="42">
        <f t="shared" si="2"/>
        <v>0</v>
      </c>
      <c r="K13" s="42" t="e">
        <f t="shared" si="3"/>
        <v>#N/A</v>
      </c>
      <c r="L13" s="42" t="str">
        <f>IF(ISNUMBER(Table8[[#This Row],[امتیاز اولیه]]),Table8[[#This Row],[امتیاز اولیه]]," ")</f>
        <v xml:space="preserve"> </v>
      </c>
      <c r="M13" s="37"/>
      <c r="N13" s="3"/>
      <c r="O13" s="3"/>
      <c r="P13" s="3"/>
      <c r="Q13" s="3"/>
      <c r="R13" s="3"/>
      <c r="S13" s="3"/>
      <c r="T13" s="3"/>
      <c r="U13" s="3"/>
    </row>
    <row r="14" spans="1:23" ht="37.5" customHeight="1" x14ac:dyDescent="0.25">
      <c r="A14" s="22"/>
      <c r="B14" s="22"/>
      <c r="C14" s="22"/>
      <c r="D14" s="22"/>
      <c r="E14" s="22"/>
      <c r="F14" s="23"/>
      <c r="G14" s="23"/>
      <c r="H14" s="42" t="e">
        <f t="shared" si="0"/>
        <v>#N/A</v>
      </c>
      <c r="I14" s="42" t="e">
        <f t="shared" si="1"/>
        <v>#N/A</v>
      </c>
      <c r="J14" s="42">
        <f t="shared" si="2"/>
        <v>0</v>
      </c>
      <c r="K14" s="42" t="e">
        <f t="shared" si="3"/>
        <v>#N/A</v>
      </c>
      <c r="L14" s="42" t="str">
        <f>IF(ISNUMBER(Table8[[#This Row],[امتیاز اولیه]]),Table8[[#This Row],[امتیاز اولیه]]," ")</f>
        <v xml:space="preserve"> </v>
      </c>
      <c r="M14" s="37"/>
      <c r="N14" s="3"/>
      <c r="O14" s="3"/>
      <c r="P14" s="3"/>
      <c r="Q14" s="3"/>
      <c r="R14" s="3"/>
      <c r="S14" s="3"/>
      <c r="T14" s="3"/>
      <c r="U14" s="3"/>
    </row>
    <row r="15" spans="1:23" ht="37.5" customHeight="1" x14ac:dyDescent="0.25">
      <c r="A15" s="22"/>
      <c r="B15" s="22"/>
      <c r="C15" s="22"/>
      <c r="D15" s="22"/>
      <c r="E15" s="22"/>
      <c r="F15" s="23"/>
      <c r="G15" s="23"/>
      <c r="H15" s="42" t="e">
        <f t="shared" si="0"/>
        <v>#N/A</v>
      </c>
      <c r="I15" s="42" t="e">
        <f t="shared" si="1"/>
        <v>#N/A</v>
      </c>
      <c r="J15" s="42">
        <f t="shared" si="2"/>
        <v>0</v>
      </c>
      <c r="K15" s="42" t="e">
        <f t="shared" si="3"/>
        <v>#N/A</v>
      </c>
      <c r="L15" s="42" t="str">
        <f>IF(ISNUMBER(Table8[[#This Row],[امتیاز اولیه]]),Table8[[#This Row],[امتیاز اولیه]]," ")</f>
        <v xml:space="preserve"> </v>
      </c>
      <c r="M15" s="37"/>
      <c r="N15" s="3"/>
      <c r="O15" s="3"/>
      <c r="P15" s="3"/>
      <c r="Q15" s="3"/>
      <c r="R15" s="3"/>
      <c r="S15" s="3"/>
      <c r="T15" s="3"/>
      <c r="U15" s="3"/>
    </row>
    <row r="16" spans="1:23" ht="37.5" customHeight="1" x14ac:dyDescent="0.25">
      <c r="A16" s="22"/>
      <c r="B16" s="22"/>
      <c r="C16" s="22"/>
      <c r="D16" s="22"/>
      <c r="E16" s="22"/>
      <c r="F16" s="23"/>
      <c r="G16" s="23"/>
      <c r="H16" s="42" t="e">
        <f t="shared" si="0"/>
        <v>#N/A</v>
      </c>
      <c r="I16" s="42" t="e">
        <f t="shared" si="1"/>
        <v>#N/A</v>
      </c>
      <c r="J16" s="42">
        <f t="shared" si="2"/>
        <v>0</v>
      </c>
      <c r="K16" s="42" t="e">
        <f t="shared" si="3"/>
        <v>#N/A</v>
      </c>
      <c r="L16" s="42" t="str">
        <f>IF(ISNUMBER(Table8[[#This Row],[امتیاز اولیه]]),Table8[[#This Row],[امتیاز اولیه]]," ")</f>
        <v xml:space="preserve"> </v>
      </c>
      <c r="M16" s="37"/>
      <c r="N16" s="3"/>
      <c r="O16" s="3"/>
      <c r="P16" s="3"/>
      <c r="Q16" s="3"/>
      <c r="R16" s="3"/>
      <c r="S16" s="3"/>
      <c r="T16" s="3"/>
      <c r="U16" s="3"/>
    </row>
    <row r="17" spans="1:21" ht="37.5" customHeight="1" x14ac:dyDescent="0.25">
      <c r="A17" s="22"/>
      <c r="B17" s="22"/>
      <c r="C17" s="22"/>
      <c r="D17" s="22"/>
      <c r="E17" s="22"/>
      <c r="F17" s="23"/>
      <c r="G17" s="23"/>
      <c r="H17" s="42" t="e">
        <f t="shared" si="0"/>
        <v>#N/A</v>
      </c>
      <c r="I17" s="42" t="e">
        <f t="shared" si="1"/>
        <v>#N/A</v>
      </c>
      <c r="J17" s="42">
        <f t="shared" si="2"/>
        <v>0</v>
      </c>
      <c r="K17" s="42" t="e">
        <f t="shared" si="3"/>
        <v>#N/A</v>
      </c>
      <c r="L17" s="42" t="str">
        <f>IF(ISNUMBER(Table8[[#This Row],[امتیاز اولیه]]),Table8[[#This Row],[امتیاز اولیه]]," ")</f>
        <v xml:space="preserve"> </v>
      </c>
      <c r="M17" s="37"/>
      <c r="N17" s="3"/>
      <c r="O17" s="3"/>
      <c r="P17" s="3"/>
      <c r="Q17" s="3"/>
      <c r="R17" s="3"/>
      <c r="S17" s="3"/>
      <c r="T17" s="3"/>
      <c r="U17" s="3"/>
    </row>
    <row r="18" spans="1:21" ht="37.5" customHeight="1" x14ac:dyDescent="0.25">
      <c r="A18" s="22"/>
      <c r="B18" s="22"/>
      <c r="C18" s="22"/>
      <c r="D18" s="22"/>
      <c r="E18" s="22"/>
      <c r="F18" s="23"/>
      <c r="G18" s="23"/>
      <c r="H18" s="42" t="e">
        <f t="shared" si="0"/>
        <v>#N/A</v>
      </c>
      <c r="I18" s="42" t="e">
        <f t="shared" si="1"/>
        <v>#N/A</v>
      </c>
      <c r="J18" s="42">
        <f t="shared" si="2"/>
        <v>0</v>
      </c>
      <c r="K18" s="42" t="e">
        <f t="shared" si="3"/>
        <v>#N/A</v>
      </c>
      <c r="L18" s="42" t="str">
        <f>IF(ISNUMBER(Table8[[#This Row],[امتیاز اولیه]]),Table8[[#This Row],[امتیاز اولیه]]," ")</f>
        <v xml:space="preserve"> </v>
      </c>
      <c r="M18" s="37"/>
      <c r="N18" s="3"/>
      <c r="O18" s="3"/>
      <c r="P18" s="3"/>
      <c r="Q18" s="3"/>
      <c r="R18" s="3"/>
      <c r="S18" s="3"/>
      <c r="T18" s="3"/>
      <c r="U18" s="3"/>
    </row>
    <row r="19" spans="1:21" ht="37.5" customHeight="1" x14ac:dyDescent="0.25">
      <c r="A19" s="22"/>
      <c r="B19" s="22"/>
      <c r="C19" s="22"/>
      <c r="D19" s="22"/>
      <c r="E19" s="22"/>
      <c r="F19" s="23"/>
      <c r="G19" s="23"/>
      <c r="H19" s="42" t="e">
        <f t="shared" si="0"/>
        <v>#N/A</v>
      </c>
      <c r="I19" s="42" t="e">
        <f t="shared" si="1"/>
        <v>#N/A</v>
      </c>
      <c r="J19" s="42">
        <f t="shared" si="2"/>
        <v>0</v>
      </c>
      <c r="K19" s="42" t="e">
        <f t="shared" si="3"/>
        <v>#N/A</v>
      </c>
      <c r="L19" s="42" t="str">
        <f>IF(ISNUMBER(Table8[[#This Row],[امتیاز اولیه]]),Table8[[#This Row],[امتیاز اولیه]]," ")</f>
        <v xml:space="preserve"> </v>
      </c>
      <c r="M19" s="37"/>
      <c r="N19" s="3"/>
      <c r="O19" s="3"/>
      <c r="P19" s="3"/>
      <c r="Q19" s="3"/>
      <c r="R19" s="3"/>
      <c r="S19" s="3"/>
      <c r="T19" s="3"/>
      <c r="U19" s="3"/>
    </row>
    <row r="20" spans="1:21" ht="37.5" customHeight="1" x14ac:dyDescent="0.25">
      <c r="A20" s="22"/>
      <c r="B20" s="22"/>
      <c r="C20" s="22"/>
      <c r="D20" s="22"/>
      <c r="E20" s="22"/>
      <c r="F20" s="23"/>
      <c r="G20" s="23"/>
      <c r="H20" s="42" t="e">
        <f t="shared" si="0"/>
        <v>#N/A</v>
      </c>
      <c r="I20" s="42" t="e">
        <f t="shared" si="1"/>
        <v>#N/A</v>
      </c>
      <c r="J20" s="42">
        <f t="shared" si="2"/>
        <v>0</v>
      </c>
      <c r="K20" s="42" t="e">
        <f t="shared" si="3"/>
        <v>#N/A</v>
      </c>
      <c r="L20" s="42" t="str">
        <f>IF(ISNUMBER(Table8[[#This Row],[امتیاز اولیه]]),Table8[[#This Row],[امتیاز اولیه]]," ")</f>
        <v xml:space="preserve"> </v>
      </c>
      <c r="M20" s="37"/>
      <c r="N20" s="3"/>
      <c r="O20" s="3"/>
      <c r="P20" s="3"/>
      <c r="Q20" s="3"/>
      <c r="R20" s="3"/>
      <c r="S20" s="3"/>
      <c r="T20" s="3"/>
      <c r="U20" s="3"/>
    </row>
    <row r="21" spans="1:21" ht="37.5" customHeight="1" x14ac:dyDescent="0.25">
      <c r="A21" s="22"/>
      <c r="B21" s="22"/>
      <c r="C21" s="22"/>
      <c r="D21" s="22"/>
      <c r="E21" s="22"/>
      <c r="F21" s="23"/>
      <c r="G21" s="23"/>
      <c r="H21" s="42" t="e">
        <f t="shared" si="0"/>
        <v>#N/A</v>
      </c>
      <c r="I21" s="42" t="e">
        <f t="shared" si="1"/>
        <v>#N/A</v>
      </c>
      <c r="J21" s="42">
        <f t="shared" si="2"/>
        <v>0</v>
      </c>
      <c r="K21" s="42" t="e">
        <f t="shared" si="3"/>
        <v>#N/A</v>
      </c>
      <c r="L21" s="42" t="str">
        <f>IF(ISNUMBER(Table8[[#This Row],[امتیاز اولیه]]),Table8[[#This Row],[امتیاز اولیه]]," ")</f>
        <v xml:space="preserve"> </v>
      </c>
      <c r="M21" s="37"/>
      <c r="N21" s="3"/>
      <c r="O21" s="3"/>
      <c r="P21" s="3"/>
      <c r="Q21" s="3"/>
      <c r="R21" s="3"/>
      <c r="S21" s="3"/>
      <c r="T21" s="3"/>
      <c r="U21" s="3"/>
    </row>
    <row r="22" spans="1:21" ht="37.5" customHeight="1" x14ac:dyDescent="0.25">
      <c r="A22" s="22"/>
      <c r="B22" s="22"/>
      <c r="C22" s="22"/>
      <c r="D22" s="22"/>
      <c r="E22" s="22"/>
      <c r="F22" s="23"/>
      <c r="G22" s="23"/>
      <c r="H22" s="42" t="e">
        <f t="shared" si="0"/>
        <v>#N/A</v>
      </c>
      <c r="I22" s="42" t="e">
        <f t="shared" si="1"/>
        <v>#N/A</v>
      </c>
      <c r="J22" s="42">
        <f t="shared" si="2"/>
        <v>0</v>
      </c>
      <c r="K22" s="42" t="e">
        <f t="shared" si="3"/>
        <v>#N/A</v>
      </c>
      <c r="L22" s="42" t="str">
        <f>IF(ISNUMBER(Table8[[#This Row],[امتیاز اولیه]]),Table8[[#This Row],[امتیاز اولیه]]," ")</f>
        <v xml:space="preserve"> </v>
      </c>
      <c r="M22" s="37"/>
      <c r="N22" s="3"/>
      <c r="O22" s="3"/>
      <c r="P22" s="3"/>
      <c r="Q22" s="3"/>
      <c r="R22" s="3"/>
      <c r="S22" s="3"/>
      <c r="T22" s="3"/>
      <c r="U22" s="3"/>
    </row>
    <row r="23" spans="1:21" ht="37.5" customHeight="1" x14ac:dyDescent="0.25">
      <c r="A23" s="22"/>
      <c r="B23" s="22"/>
      <c r="C23" s="22"/>
      <c r="D23" s="22"/>
      <c r="E23" s="22"/>
      <c r="F23" s="23"/>
      <c r="G23" s="23"/>
      <c r="H23" s="42" t="e">
        <f t="shared" si="0"/>
        <v>#N/A</v>
      </c>
      <c r="I23" s="42" t="e">
        <f t="shared" si="1"/>
        <v>#N/A</v>
      </c>
      <c r="J23" s="42">
        <f t="shared" si="2"/>
        <v>0</v>
      </c>
      <c r="K23" s="42" t="e">
        <f t="shared" si="3"/>
        <v>#N/A</v>
      </c>
      <c r="L23" s="42" t="str">
        <f>IF(ISNUMBER(Table8[[#This Row],[امتیاز اولیه]]),Table8[[#This Row],[امتیاز اولیه]]," ")</f>
        <v xml:space="preserve"> </v>
      </c>
      <c r="M23" s="37"/>
      <c r="N23" s="3"/>
      <c r="O23" s="3"/>
      <c r="P23" s="3"/>
      <c r="Q23" s="3"/>
      <c r="R23" s="3"/>
      <c r="S23" s="3"/>
      <c r="T23" s="3"/>
      <c r="U23" s="3"/>
    </row>
    <row r="24" spans="1:21" ht="37.5" customHeight="1" x14ac:dyDescent="0.25">
      <c r="A24" s="22"/>
      <c r="B24" s="22"/>
      <c r="C24" s="22"/>
      <c r="D24" s="22"/>
      <c r="E24" s="22"/>
      <c r="F24" s="23"/>
      <c r="G24" s="23"/>
      <c r="H24" s="42" t="e">
        <f t="shared" si="0"/>
        <v>#N/A</v>
      </c>
      <c r="I24" s="42" t="e">
        <f t="shared" si="1"/>
        <v>#N/A</v>
      </c>
      <c r="J24" s="42">
        <f t="shared" si="2"/>
        <v>0</v>
      </c>
      <c r="K24" s="42" t="e">
        <f t="shared" si="3"/>
        <v>#N/A</v>
      </c>
      <c r="L24" s="42" t="str">
        <f>IF(ISNUMBER(Table8[[#This Row],[امتیاز اولیه]]),Table8[[#This Row],[امتیاز اولیه]]," ")</f>
        <v xml:space="preserve"> </v>
      </c>
      <c r="M24" s="37"/>
      <c r="N24" s="3"/>
      <c r="O24" s="3"/>
      <c r="P24" s="3"/>
      <c r="Q24" s="3"/>
      <c r="R24" s="3"/>
      <c r="S24" s="3"/>
      <c r="T24" s="3"/>
      <c r="U24" s="3"/>
    </row>
    <row r="25" spans="1:21" ht="37.5" customHeight="1" x14ac:dyDescent="0.25">
      <c r="A25" s="22"/>
      <c r="B25" s="22" t="s">
        <v>172</v>
      </c>
      <c r="C25" s="22"/>
      <c r="D25" s="22"/>
      <c r="E25" s="22"/>
      <c r="F25" s="23"/>
      <c r="G25" s="23"/>
      <c r="H25" s="42" t="e">
        <f t="shared" si="0"/>
        <v>#N/A</v>
      </c>
      <c r="I25" s="42" t="e">
        <f t="shared" si="1"/>
        <v>#N/A</v>
      </c>
      <c r="J25" s="42">
        <f t="shared" si="2"/>
        <v>0</v>
      </c>
      <c r="K25" s="42" t="e">
        <f t="shared" si="3"/>
        <v>#N/A</v>
      </c>
      <c r="L25" s="42">
        <f>SUM(L2:L24)</f>
        <v>0</v>
      </c>
      <c r="M25" s="37"/>
      <c r="N25" s="3"/>
      <c r="O25" s="3"/>
      <c r="P25" s="3"/>
      <c r="Q25" s="3"/>
      <c r="R25" s="3"/>
      <c r="S25" s="3"/>
      <c r="T25" s="3"/>
      <c r="U25" s="3"/>
    </row>
  </sheetData>
  <sheetProtection algorithmName="SHA-512" hashValue="vfCVubODCWU7DJLaoE7D3jvHarqHSmGQ3jYhLgFScKRb9twVxXRrZbcqIrPxfKiD9QTgY1qfZvnbu9T+rltEXw==" saltValue="Eq1wonM1r+EJ1povPvuN1Q==" spinCount="100000" sheet="1" scenarios="1"/>
  <dataConsolidate/>
  <dataValidations count="3">
    <dataValidation type="list" allowBlank="1" showInputMessage="1" showErrorMessage="1" sqref="F2:F19">
      <formula1>$V$1:$V$4</formula1>
    </dataValidation>
    <dataValidation type="list" allowBlank="1" showInputMessage="1" showErrorMessage="1" sqref="D2:D25">
      <formula1>$V$7:$V$9</formula1>
    </dataValidation>
    <dataValidation type="list" allowBlank="1" showInputMessage="1" showErrorMessage="1" sqref="G2:G24">
      <formula1>$U$1:$U$2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J6" sqref="J6"/>
    </sheetView>
  </sheetViews>
  <sheetFormatPr defaultRowHeight="27.75" customHeight="1" x14ac:dyDescent="0.25"/>
  <cols>
    <col min="1" max="1" width="9.140625" style="2"/>
    <col min="2" max="2" width="29.28515625" style="2" customWidth="1"/>
    <col min="3" max="3" width="12.42578125" style="2" customWidth="1"/>
    <col min="4" max="4" width="15.42578125" style="2" customWidth="1"/>
    <col min="5" max="5" width="15.42578125" style="2" hidden="1" customWidth="1"/>
    <col min="6" max="6" width="9" style="2" hidden="1" customWidth="1"/>
    <col min="7" max="7" width="9.140625" style="2"/>
    <col min="8" max="8" width="29.140625" style="2" customWidth="1"/>
    <col min="9" max="10" width="9.140625" style="2"/>
    <col min="11" max="11" width="13.28515625" style="2" customWidth="1"/>
    <col min="12" max="12" width="11.140625" style="2" bestFit="1" customWidth="1"/>
    <col min="13" max="14" width="9.140625" style="2"/>
    <col min="15" max="16" width="0" style="2" hidden="1" customWidth="1"/>
    <col min="17" max="16384" width="9.140625" style="2"/>
  </cols>
  <sheetData>
    <row r="1" spans="1:16" ht="27.75" customHeight="1" x14ac:dyDescent="0.25">
      <c r="A1" s="5" t="s">
        <v>102</v>
      </c>
      <c r="B1" s="5" t="s">
        <v>103</v>
      </c>
      <c r="C1" s="5" t="s">
        <v>89</v>
      </c>
      <c r="D1" s="5" t="s">
        <v>190</v>
      </c>
      <c r="E1" s="5" t="s">
        <v>183</v>
      </c>
      <c r="F1" s="5" t="s">
        <v>50</v>
      </c>
      <c r="G1" s="5" t="s">
        <v>40</v>
      </c>
      <c r="H1" s="5" t="s">
        <v>104</v>
      </c>
      <c r="O1" s="2" t="s">
        <v>184</v>
      </c>
    </row>
    <row r="2" spans="1:16" ht="27.75" customHeight="1" x14ac:dyDescent="0.25">
      <c r="A2" s="22"/>
      <c r="B2" s="22"/>
      <c r="C2" s="22"/>
      <c r="D2" s="22"/>
      <c r="E2" s="42" t="e">
        <f>VLOOKUP(Table13[[#This Row],[امتیاز کسب شده]],$O$2:$P$6,2,0)</f>
        <v>#N/A</v>
      </c>
      <c r="F2" s="42" t="e">
        <f>Table13[[#This Row],[تعداد واحد]]*E2*0.25</f>
        <v>#N/A</v>
      </c>
      <c r="G2" s="42" t="str">
        <f>IF(ISNUMBER(Table13[[#This Row],[امتیاز ]]),Table13[[#This Row],[امتیاز ]]," ")</f>
        <v xml:space="preserve"> </v>
      </c>
      <c r="H2" s="22"/>
      <c r="O2" s="2" t="s">
        <v>185</v>
      </c>
      <c r="P2" s="2">
        <v>1</v>
      </c>
    </row>
    <row r="3" spans="1:16" ht="27.75" customHeight="1" x14ac:dyDescent="0.25">
      <c r="A3" s="22"/>
      <c r="B3" s="22"/>
      <c r="C3" s="22"/>
      <c r="D3" s="22"/>
      <c r="E3" s="42" t="e">
        <f>VLOOKUP(Table13[[#This Row],[امتیاز کسب شده]],$O$2:$P$6,2,0)</f>
        <v>#N/A</v>
      </c>
      <c r="F3" s="42" t="e">
        <f>Table13[[#This Row],[تعداد واحد]]*E3*0.25</f>
        <v>#N/A</v>
      </c>
      <c r="G3" s="42" t="str">
        <f>IF(ISNUMBER(Table13[[#This Row],[امتیاز ]]),Table13[[#This Row],[امتیاز ]]," ")</f>
        <v xml:space="preserve"> </v>
      </c>
      <c r="H3" s="22"/>
      <c r="O3" s="2" t="s">
        <v>186</v>
      </c>
      <c r="P3" s="2">
        <v>0.75</v>
      </c>
    </row>
    <row r="4" spans="1:16" ht="27.75" customHeight="1" x14ac:dyDescent="0.25">
      <c r="A4" s="22"/>
      <c r="B4" s="22"/>
      <c r="C4" s="22"/>
      <c r="D4" s="22"/>
      <c r="E4" s="42" t="e">
        <f>VLOOKUP(Table13[[#This Row],[امتیاز کسب شده]],$O$2:$P$6,2,0)</f>
        <v>#N/A</v>
      </c>
      <c r="F4" s="42" t="e">
        <f>Table13[[#This Row],[تعداد واحد]]*E4*0.25</f>
        <v>#N/A</v>
      </c>
      <c r="G4" s="42" t="str">
        <f>IF(ISNUMBER(Table13[[#This Row],[امتیاز ]]),Table13[[#This Row],[امتیاز ]]," ")</f>
        <v xml:space="preserve"> </v>
      </c>
      <c r="H4" s="22"/>
      <c r="O4" s="2" t="s">
        <v>187</v>
      </c>
      <c r="P4" s="2">
        <v>0.5</v>
      </c>
    </row>
    <row r="5" spans="1:16" ht="27.75" customHeight="1" x14ac:dyDescent="0.25">
      <c r="A5" s="22"/>
      <c r="B5" s="22"/>
      <c r="C5" s="22"/>
      <c r="D5" s="22"/>
      <c r="E5" s="42" t="e">
        <f>VLOOKUP(Table13[[#This Row],[امتیاز کسب شده]],$O$2:$P$6,2,0)</f>
        <v>#N/A</v>
      </c>
      <c r="F5" s="42" t="e">
        <f>Table13[[#This Row],[تعداد واحد]]*E5*0.25</f>
        <v>#N/A</v>
      </c>
      <c r="G5" s="42" t="str">
        <f>IF(ISNUMBER(Table13[[#This Row],[امتیاز ]]),Table13[[#This Row],[امتیاز ]]," ")</f>
        <v xml:space="preserve"> </v>
      </c>
      <c r="H5" s="22"/>
      <c r="O5" s="2" t="s">
        <v>188</v>
      </c>
      <c r="P5" s="2">
        <v>0.25</v>
      </c>
    </row>
    <row r="6" spans="1:16" ht="27.75" customHeight="1" x14ac:dyDescent="0.25">
      <c r="A6" s="22"/>
      <c r="B6" s="22"/>
      <c r="C6" s="22"/>
      <c r="D6" s="22"/>
      <c r="E6" s="42" t="e">
        <f>VLOOKUP(Table13[[#This Row],[امتیاز کسب شده]],$O$2:$P$6,2,0)</f>
        <v>#N/A</v>
      </c>
      <c r="F6" s="42" t="e">
        <f>Table13[[#This Row],[تعداد واحد]]*E6*0.25</f>
        <v>#N/A</v>
      </c>
      <c r="G6" s="42" t="str">
        <f>IF(ISNUMBER(Table13[[#This Row],[امتیاز ]]),Table13[[#This Row],[امتیاز ]]," ")</f>
        <v xml:space="preserve"> </v>
      </c>
      <c r="H6" s="22"/>
      <c r="O6" s="2" t="s">
        <v>189</v>
      </c>
      <c r="P6" s="2">
        <v>0</v>
      </c>
    </row>
    <row r="7" spans="1:16" ht="27.75" customHeight="1" x14ac:dyDescent="0.25">
      <c r="A7" s="22"/>
      <c r="B7" s="22"/>
      <c r="C7" s="22"/>
      <c r="D7" s="22"/>
      <c r="E7" s="42" t="e">
        <f>VLOOKUP(Table13[[#This Row],[امتیاز کسب شده]],$O$2:$P$6,2,0)</f>
        <v>#N/A</v>
      </c>
      <c r="F7" s="42" t="e">
        <f>Table13[[#This Row],[تعداد واحد]]*E7*0.25</f>
        <v>#N/A</v>
      </c>
      <c r="G7" s="42" t="str">
        <f>IF(ISNUMBER(Table13[[#This Row],[امتیاز ]]),Table13[[#This Row],[امتیاز ]]," ")</f>
        <v xml:space="preserve"> </v>
      </c>
      <c r="H7" s="22"/>
    </row>
    <row r="8" spans="1:16" ht="27.75" customHeight="1" x14ac:dyDescent="0.25">
      <c r="A8" s="22"/>
      <c r="B8" s="22"/>
      <c r="C8" s="22"/>
      <c r="D8" s="22"/>
      <c r="E8" s="42" t="e">
        <f>VLOOKUP(Table13[[#This Row],[امتیاز کسب شده]],$O$2:$P$6,2,0)</f>
        <v>#N/A</v>
      </c>
      <c r="F8" s="42" t="e">
        <f>Table13[[#This Row],[تعداد واحد]]*E8*0.25</f>
        <v>#N/A</v>
      </c>
      <c r="G8" s="42" t="str">
        <f>IF(ISNUMBER(Table13[[#This Row],[امتیاز ]]),Table13[[#This Row],[امتیاز ]]," ")</f>
        <v xml:space="preserve"> </v>
      </c>
      <c r="H8" s="22"/>
    </row>
    <row r="9" spans="1:16" ht="27.75" customHeight="1" x14ac:dyDescent="0.25">
      <c r="A9" s="22"/>
      <c r="B9" s="22"/>
      <c r="C9" s="22"/>
      <c r="D9" s="22"/>
      <c r="E9" s="42" t="e">
        <f>VLOOKUP(Table13[[#This Row],[امتیاز کسب شده]],$O$2:$P$6,2,0)</f>
        <v>#N/A</v>
      </c>
      <c r="F9" s="42" t="e">
        <f>Table13[[#This Row],[تعداد واحد]]*E9*0.25</f>
        <v>#N/A</v>
      </c>
      <c r="G9" s="42" t="str">
        <f>IF(ISNUMBER(Table13[[#This Row],[امتیاز ]]),Table13[[#This Row],[امتیاز ]]," ")</f>
        <v xml:space="preserve"> </v>
      </c>
      <c r="H9" s="22"/>
    </row>
    <row r="10" spans="1:16" ht="27.75" customHeight="1" x14ac:dyDescent="0.55000000000000004">
      <c r="A10" s="22"/>
      <c r="B10" s="22"/>
      <c r="C10" s="22"/>
      <c r="D10" s="22"/>
      <c r="E10" s="42" t="e">
        <f>VLOOKUP(Table13[[#This Row],[امتیاز کسب شده]],$O$2:$P$6,2,0)</f>
        <v>#N/A</v>
      </c>
      <c r="F10" s="42" t="e">
        <f>Table13[[#This Row],[تعداد واحد]]*E10*0.25</f>
        <v>#N/A</v>
      </c>
      <c r="G10" s="42" t="str">
        <f>IF(ISNUMBER(Table13[[#This Row],[امتیاز ]]),Table13[[#This Row],[امتیاز ]]," ")</f>
        <v xml:space="preserve"> </v>
      </c>
      <c r="H10" s="22"/>
      <c r="K10" s="6"/>
    </row>
    <row r="11" spans="1:16" ht="27.75" customHeight="1" x14ac:dyDescent="0.25">
      <c r="A11" s="22"/>
      <c r="B11" s="22"/>
      <c r="C11" s="22"/>
      <c r="D11" s="22"/>
      <c r="E11" s="42" t="e">
        <f>VLOOKUP(Table13[[#This Row],[امتیاز کسب شده]],$O$2:$P$6,2,0)</f>
        <v>#N/A</v>
      </c>
      <c r="F11" s="42" t="e">
        <f>Table13[[#This Row],[تعداد واحد]]*E11*0.25</f>
        <v>#N/A</v>
      </c>
      <c r="G11" s="42" t="str">
        <f>IF(ISNUMBER(Table13[[#This Row],[امتیاز ]]),Table13[[#This Row],[امتیاز ]]," ")</f>
        <v xml:space="preserve"> </v>
      </c>
      <c r="H11" s="22"/>
    </row>
    <row r="12" spans="1:16" ht="27.75" customHeight="1" x14ac:dyDescent="0.25">
      <c r="A12" s="22"/>
      <c r="B12" s="22"/>
      <c r="C12" s="22"/>
      <c r="D12" s="22"/>
      <c r="E12" s="42" t="e">
        <f>VLOOKUP(Table13[[#This Row],[امتیاز کسب شده]],$O$2:$P$6,2,0)</f>
        <v>#N/A</v>
      </c>
      <c r="F12" s="42" t="e">
        <f>Table13[[#This Row],[تعداد واحد]]*E12*0.25</f>
        <v>#N/A</v>
      </c>
      <c r="G12" s="42" t="str">
        <f>IF(ISNUMBER(Table13[[#This Row],[امتیاز ]]),Table13[[#This Row],[امتیاز ]]," ")</f>
        <v xml:space="preserve"> </v>
      </c>
      <c r="H12" s="22"/>
    </row>
    <row r="13" spans="1:16" ht="27.75" customHeight="1" x14ac:dyDescent="0.25">
      <c r="A13" s="22"/>
      <c r="B13" s="22"/>
      <c r="C13" s="22"/>
      <c r="D13" s="22"/>
      <c r="E13" s="42" t="e">
        <f>VLOOKUP(Table13[[#This Row],[امتیاز کسب شده]],$O$2:$P$6,2,0)</f>
        <v>#N/A</v>
      </c>
      <c r="F13" s="42" t="e">
        <f>Table13[[#This Row],[تعداد واحد]]*E13*0.25</f>
        <v>#N/A</v>
      </c>
      <c r="G13" s="42" t="str">
        <f>IF(ISNUMBER(Table13[[#This Row],[امتیاز ]]),Table13[[#This Row],[امتیاز ]]," ")</f>
        <v xml:space="preserve"> </v>
      </c>
      <c r="H13" s="22"/>
    </row>
    <row r="14" spans="1:16" ht="27.75" customHeight="1" x14ac:dyDescent="0.25">
      <c r="A14" s="22"/>
      <c r="B14" s="22"/>
      <c r="C14" s="22"/>
      <c r="D14" s="22"/>
      <c r="E14" s="42" t="e">
        <f>VLOOKUP(Table13[[#This Row],[امتیاز کسب شده]],$O$2:$P$6,2,0)</f>
        <v>#N/A</v>
      </c>
      <c r="F14" s="42" t="e">
        <f>Table13[[#This Row],[تعداد واحد]]*E14*0.25</f>
        <v>#N/A</v>
      </c>
      <c r="G14" s="42" t="str">
        <f>IF(ISNUMBER(Table13[[#This Row],[امتیاز ]]),Table13[[#This Row],[امتیاز ]]," ")</f>
        <v xml:space="preserve"> </v>
      </c>
      <c r="H14" s="22"/>
    </row>
    <row r="15" spans="1:16" ht="27.75" customHeight="1" x14ac:dyDescent="0.55000000000000004">
      <c r="A15" s="22"/>
      <c r="B15" s="22"/>
      <c r="C15" s="22"/>
      <c r="D15" s="22"/>
      <c r="E15" s="42" t="e">
        <f>VLOOKUP(Table13[[#This Row],[امتیاز کسب شده]],$O$2:$P$6,2,0)</f>
        <v>#N/A</v>
      </c>
      <c r="F15" s="42" t="e">
        <f>Table13[[#This Row],[تعداد واحد]]*E15*0.25</f>
        <v>#N/A</v>
      </c>
      <c r="G15" s="42" t="str">
        <f>IF(ISNUMBER(Table13[[#This Row],[امتیاز ]]),Table13[[#This Row],[امتیاز ]]," ")</f>
        <v xml:space="preserve"> </v>
      </c>
      <c r="H15" s="22"/>
      <c r="K15" s="7"/>
      <c r="L15" s="8"/>
    </row>
    <row r="16" spans="1:16" ht="27.75" customHeight="1" x14ac:dyDescent="0.25">
      <c r="A16" s="22"/>
      <c r="B16" s="22"/>
      <c r="C16" s="22"/>
      <c r="D16" s="22"/>
      <c r="E16" s="42" t="e">
        <f>VLOOKUP(Table13[[#This Row],[امتیاز کسب شده]],$O$2:$P$6,2,0)</f>
        <v>#N/A</v>
      </c>
      <c r="F16" s="42" t="e">
        <f>Table13[[#This Row],[تعداد واحد]]*E16*0.25</f>
        <v>#N/A</v>
      </c>
      <c r="G16" s="42" t="str">
        <f>IF(ISNUMBER(Table13[[#This Row],[امتیاز ]]),Table13[[#This Row],[امتیاز ]]," ")</f>
        <v xml:space="preserve"> </v>
      </c>
      <c r="H16" s="22"/>
    </row>
    <row r="17" spans="1:12" ht="27.75" customHeight="1" x14ac:dyDescent="0.25">
      <c r="A17" s="22"/>
      <c r="B17" s="22"/>
      <c r="C17" s="22"/>
      <c r="D17" s="22"/>
      <c r="E17" s="42" t="e">
        <f>VLOOKUP(Table13[[#This Row],[امتیاز کسب شده]],$O$2:$P$6,2,0)</f>
        <v>#N/A</v>
      </c>
      <c r="F17" s="42" t="e">
        <f>Table13[[#This Row],[تعداد واحد]]*E17*0.25</f>
        <v>#N/A</v>
      </c>
      <c r="G17" s="42" t="str">
        <f>IF(ISNUMBER(Table13[[#This Row],[امتیاز ]]),Table13[[#This Row],[امتیاز ]]," ")</f>
        <v xml:space="preserve"> </v>
      </c>
      <c r="H17" s="22"/>
    </row>
    <row r="18" spans="1:12" ht="27.75" customHeight="1" x14ac:dyDescent="0.25">
      <c r="A18" s="22"/>
      <c r="B18" s="22"/>
      <c r="C18" s="22"/>
      <c r="D18" s="22"/>
      <c r="E18" s="42" t="e">
        <f>VLOOKUP(Table13[[#This Row],[امتیاز کسب شده]],$O$2:$P$6,2,0)</f>
        <v>#N/A</v>
      </c>
      <c r="F18" s="42" t="e">
        <f>Table13[[#This Row],[تعداد واحد]]*E18*0.25</f>
        <v>#N/A</v>
      </c>
      <c r="G18" s="42" t="str">
        <f>IF(ISNUMBER(Table13[[#This Row],[امتیاز ]]),Table13[[#This Row],[امتیاز ]]," ")</f>
        <v xml:space="preserve"> </v>
      </c>
      <c r="H18" s="22"/>
      <c r="L18" s="8"/>
    </row>
    <row r="19" spans="1:12" ht="27.75" customHeight="1" x14ac:dyDescent="0.25">
      <c r="A19" s="22"/>
      <c r="B19" s="22"/>
      <c r="C19" s="22"/>
      <c r="D19" s="22"/>
      <c r="E19" s="42" t="e">
        <f>VLOOKUP(Table13[[#This Row],[امتیاز کسب شده]],$O$2:$P$6,2,0)</f>
        <v>#N/A</v>
      </c>
      <c r="F19" s="42" t="e">
        <f>Table13[[#This Row],[تعداد واحد]]*E19*0.25</f>
        <v>#N/A</v>
      </c>
      <c r="G19" s="42" t="str">
        <f>IF(ISNUMBER(Table13[[#This Row],[امتیاز ]]),Table13[[#This Row],[امتیاز ]]," ")</f>
        <v xml:space="preserve"> </v>
      </c>
      <c r="H19" s="22"/>
    </row>
    <row r="20" spans="1:12" ht="27.75" customHeight="1" x14ac:dyDescent="0.25">
      <c r="A20" s="22"/>
      <c r="B20" s="22"/>
      <c r="C20" s="22"/>
      <c r="D20" s="22"/>
      <c r="E20" s="42" t="e">
        <f>VLOOKUP(Table13[[#This Row],[امتیاز کسب شده]],$O$2:$P$6,2,0)</f>
        <v>#N/A</v>
      </c>
      <c r="F20" s="42" t="e">
        <f>Table13[[#This Row],[تعداد واحد]]*E20*0.25</f>
        <v>#N/A</v>
      </c>
      <c r="G20" s="42" t="str">
        <f>IF(ISNUMBER(Table13[[#This Row],[امتیاز ]]),Table13[[#This Row],[امتیاز ]]," ")</f>
        <v xml:space="preserve"> </v>
      </c>
      <c r="H20" s="22"/>
    </row>
    <row r="21" spans="1:12" ht="27.75" customHeight="1" x14ac:dyDescent="0.25">
      <c r="A21" s="22"/>
      <c r="B21" s="22"/>
      <c r="C21" s="22"/>
      <c r="D21" s="22"/>
      <c r="E21" s="42" t="e">
        <f>VLOOKUP(Table13[[#This Row],[امتیاز کسب شده]],$O$2:$P$6,2,0)</f>
        <v>#N/A</v>
      </c>
      <c r="F21" s="42" t="e">
        <f>Table13[[#This Row],[تعداد واحد]]*E21*0.25</f>
        <v>#N/A</v>
      </c>
      <c r="G21" s="42" t="str">
        <f>IF(ISNUMBER(Table13[[#This Row],[امتیاز ]]),Table13[[#This Row],[امتیاز ]]," ")</f>
        <v xml:space="preserve"> </v>
      </c>
      <c r="H21" s="22"/>
    </row>
    <row r="22" spans="1:12" ht="27.75" customHeight="1" x14ac:dyDescent="0.25">
      <c r="A22" s="22"/>
      <c r="B22" s="22"/>
      <c r="C22" s="22"/>
      <c r="D22" s="22"/>
      <c r="E22" s="42" t="e">
        <f>VLOOKUP(Table13[[#This Row],[امتیاز کسب شده]],$O$2:$P$6,2,0)</f>
        <v>#N/A</v>
      </c>
      <c r="F22" s="42" t="e">
        <f>Table13[[#This Row],[تعداد واحد]]*E22*0.25</f>
        <v>#N/A</v>
      </c>
      <c r="G22" s="42" t="str">
        <f>IF(ISNUMBER(Table13[[#This Row],[امتیاز ]]),Table13[[#This Row],[امتیاز ]]," ")</f>
        <v xml:space="preserve"> </v>
      </c>
      <c r="H22" s="22"/>
    </row>
    <row r="23" spans="1:12" ht="27.75" customHeight="1" x14ac:dyDescent="0.25">
      <c r="A23" s="22"/>
      <c r="B23" s="22"/>
      <c r="C23" s="22"/>
      <c r="D23" s="22"/>
      <c r="E23" s="42" t="e">
        <f>VLOOKUP(Table13[[#This Row],[امتیاز کسب شده]],$O$2:$P$6,2,0)</f>
        <v>#N/A</v>
      </c>
      <c r="F23" s="42" t="e">
        <f>Table13[[#This Row],[تعداد واحد]]*E23*0.25</f>
        <v>#N/A</v>
      </c>
      <c r="G23" s="42" t="str">
        <f>IF(ISNUMBER(Table13[[#This Row],[امتیاز ]]),Table13[[#This Row],[امتیاز ]]," ")</f>
        <v xml:space="preserve"> </v>
      </c>
      <c r="H23" s="22"/>
    </row>
    <row r="24" spans="1:12" ht="27.75" customHeight="1" x14ac:dyDescent="0.25">
      <c r="A24" s="22" t="s">
        <v>44</v>
      </c>
      <c r="B24" s="22"/>
      <c r="C24" s="22"/>
      <c r="D24" s="22"/>
      <c r="E24" s="42" t="e">
        <f>VLOOKUP(Table13[[#This Row],[امتیاز کسب شده]],$O$2:$P$6,2,0)</f>
        <v>#N/A</v>
      </c>
      <c r="F24" s="42" t="e">
        <f>Table13[[#This Row],[تعداد واحد]]*E24*0.25</f>
        <v>#N/A</v>
      </c>
      <c r="G24" s="42">
        <f>SUM(G2:G23)</f>
        <v>0</v>
      </c>
      <c r="H24" s="22"/>
    </row>
  </sheetData>
  <sheetProtection algorithmName="SHA-512" hashValue="t8SyQk1ecn29NIHHMFxuw+yZvIaJcXMEPx36N4aRD49gN/i982V5yJgsM1p7S2quR3Pxt9YdyIoinSSKNXKbYw==" saltValue="DTFnxfJd5VDrKkvsolANgg==" spinCount="100000" sheet="1" scenarios="1"/>
  <dataValidations count="1">
    <dataValidation type="list" allowBlank="1" showInputMessage="1" showErrorMessage="1" sqref="D2:D23">
      <formula1>$O$2:$O$6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"/>
  <sheetViews>
    <sheetView workbookViewId="0">
      <selection activeCell="K11" sqref="K11"/>
    </sheetView>
  </sheetViews>
  <sheetFormatPr defaultRowHeight="15" x14ac:dyDescent="0.25"/>
  <cols>
    <col min="1" max="1" width="16.42578125" style="2" customWidth="1"/>
    <col min="2" max="2" width="14.5703125" style="2" customWidth="1"/>
    <col min="3" max="3" width="10.7109375" style="2" customWidth="1"/>
    <col min="4" max="4" width="10.5703125" style="2" customWidth="1"/>
    <col min="5" max="5" width="11.7109375" style="2" customWidth="1"/>
    <col min="6" max="23" width="9.140625" style="2"/>
    <col min="24" max="25" width="0" style="2" hidden="1" customWidth="1"/>
    <col min="26" max="16384" width="9.140625" style="2"/>
  </cols>
  <sheetData>
    <row r="1" spans="1:24" ht="90" x14ac:dyDescent="0.25">
      <c r="A1" s="23" t="s">
        <v>105</v>
      </c>
      <c r="B1" s="23" t="s">
        <v>106</v>
      </c>
      <c r="C1" s="23" t="s">
        <v>108</v>
      </c>
      <c r="D1" s="23" t="s">
        <v>109</v>
      </c>
      <c r="E1" s="23" t="s">
        <v>110</v>
      </c>
      <c r="F1" s="23" t="s">
        <v>111</v>
      </c>
      <c r="G1" s="23" t="s">
        <v>112</v>
      </c>
      <c r="H1" s="23" t="s">
        <v>113</v>
      </c>
      <c r="I1" s="23" t="s">
        <v>114</v>
      </c>
      <c r="J1" s="23" t="s">
        <v>115</v>
      </c>
      <c r="K1" s="23" t="s">
        <v>116</v>
      </c>
      <c r="L1" s="23" t="s">
        <v>117</v>
      </c>
      <c r="M1" s="23" t="s">
        <v>118</v>
      </c>
      <c r="N1" s="23" t="s">
        <v>119</v>
      </c>
      <c r="O1" s="23" t="s">
        <v>120</v>
      </c>
      <c r="P1" s="23" t="s">
        <v>121</v>
      </c>
      <c r="Q1" s="23" t="s">
        <v>13</v>
      </c>
      <c r="R1" s="4"/>
      <c r="S1" s="4"/>
      <c r="X1" s="2" t="s">
        <v>107</v>
      </c>
    </row>
    <row r="2" spans="1:24" x14ac:dyDescent="0.25">
      <c r="A2" s="22" t="s">
        <v>73</v>
      </c>
      <c r="B2" s="22"/>
      <c r="C2" s="22"/>
      <c r="D2" s="22"/>
      <c r="E2" s="22"/>
      <c r="F2" s="22"/>
      <c r="G2" s="22"/>
      <c r="H2" s="22"/>
      <c r="I2" s="42">
        <f>IF(A2="بلی",2,0)</f>
        <v>0</v>
      </c>
      <c r="J2" s="42">
        <f>B2</f>
        <v>0</v>
      </c>
      <c r="K2" s="22"/>
      <c r="L2" s="22"/>
      <c r="M2" s="22"/>
      <c r="N2" s="22"/>
      <c r="O2" s="42">
        <f>G2*1</f>
        <v>0</v>
      </c>
      <c r="P2" s="42">
        <f>H2*0.1</f>
        <v>0</v>
      </c>
      <c r="Q2" s="42">
        <f>I2+J2+K2++L2+M2+N2+O2+P2</f>
        <v>0</v>
      </c>
      <c r="X2" s="2" t="s">
        <v>73</v>
      </c>
    </row>
  </sheetData>
  <sheetProtection sheet="1" scenarios="1"/>
  <dataValidations count="1">
    <dataValidation type="list" allowBlank="1" showInputMessage="1" showErrorMessage="1" sqref="A2">
      <formula1>$X$1:$X$2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workbookViewId="0">
      <selection activeCell="Q2" sqref="Q2"/>
    </sheetView>
  </sheetViews>
  <sheetFormatPr defaultRowHeight="51.75" customHeight="1" x14ac:dyDescent="0.25"/>
  <cols>
    <col min="1" max="1" width="9.140625" style="2"/>
    <col min="2" max="2" width="65.140625" style="2" customWidth="1"/>
    <col min="3" max="3" width="26.85546875" style="2" customWidth="1"/>
    <col min="4" max="4" width="9.140625" style="2"/>
    <col min="5" max="5" width="13.7109375" style="2" customWidth="1"/>
    <col min="6" max="6" width="18.42578125" style="2" customWidth="1"/>
    <col min="7" max="7" width="9.140625" style="2"/>
    <col min="8" max="8" width="10.85546875" style="2" hidden="1" customWidth="1"/>
    <col min="9" max="9" width="13.7109375" style="2" hidden="1" customWidth="1"/>
    <col min="10" max="10" width="20.5703125" style="2" hidden="1" customWidth="1"/>
    <col min="11" max="13" width="20.140625" style="2" hidden="1" customWidth="1"/>
    <col min="14" max="14" width="9.140625" style="2" hidden="1" customWidth="1"/>
    <col min="15" max="15" width="9" style="2" customWidth="1"/>
    <col min="16" max="16" width="41.85546875" style="2" customWidth="1"/>
    <col min="17" max="21" width="9.140625" style="2"/>
    <col min="22" max="22" width="8.5703125" style="2" customWidth="1"/>
    <col min="23" max="23" width="9" style="2" customWidth="1"/>
    <col min="24" max="24" width="13" style="2" customWidth="1"/>
    <col min="25" max="25" width="11" style="2" hidden="1" customWidth="1"/>
    <col min="26" max="26" width="11.7109375" style="2" hidden="1" customWidth="1"/>
    <col min="27" max="27" width="17" style="2" hidden="1" customWidth="1"/>
    <col min="28" max="28" width="8.85546875" style="2" hidden="1" customWidth="1"/>
    <col min="29" max="29" width="12.5703125" style="2" hidden="1" customWidth="1"/>
    <col min="30" max="30" width="16.140625" style="2" hidden="1" customWidth="1"/>
    <col min="31" max="31" width="15" style="2" hidden="1" customWidth="1"/>
    <col min="32" max="32" width="21.85546875" style="2" hidden="1" customWidth="1"/>
    <col min="33" max="34" width="9" style="2" hidden="1" customWidth="1"/>
    <col min="35" max="35" width="9.140625" style="2" hidden="1" customWidth="1"/>
    <col min="36" max="38" width="9" style="2" hidden="1" customWidth="1"/>
    <col min="39" max="16384" width="9.140625" style="2"/>
  </cols>
  <sheetData>
    <row r="1" spans="1:38" ht="51.75" customHeight="1" x14ac:dyDescent="0.25">
      <c r="A1" s="27" t="s">
        <v>5</v>
      </c>
      <c r="B1" s="28" t="s">
        <v>0</v>
      </c>
      <c r="C1" s="28" t="s">
        <v>1</v>
      </c>
      <c r="D1" s="29" t="s">
        <v>3</v>
      </c>
      <c r="E1" s="29" t="s">
        <v>26</v>
      </c>
      <c r="F1" s="29" t="s">
        <v>4</v>
      </c>
      <c r="G1" s="29" t="s">
        <v>27</v>
      </c>
      <c r="H1" s="29" t="s">
        <v>32</v>
      </c>
      <c r="I1" s="29" t="s">
        <v>35</v>
      </c>
      <c r="J1" s="29" t="s">
        <v>33</v>
      </c>
      <c r="K1" s="29" t="s">
        <v>76</v>
      </c>
      <c r="L1" s="29" t="s">
        <v>77</v>
      </c>
      <c r="M1" s="29" t="s">
        <v>78</v>
      </c>
      <c r="N1" s="29" t="s">
        <v>34</v>
      </c>
      <c r="O1" s="29" t="s">
        <v>40</v>
      </c>
      <c r="P1" s="30" t="s">
        <v>41</v>
      </c>
      <c r="Y1" s="2" t="s">
        <v>3</v>
      </c>
      <c r="Z1" s="2" t="s">
        <v>13</v>
      </c>
      <c r="AA1" s="2" t="s">
        <v>2</v>
      </c>
      <c r="AB1" s="2" t="s">
        <v>13</v>
      </c>
      <c r="AD1" s="2" t="s">
        <v>28</v>
      </c>
      <c r="AE1" s="2" t="s">
        <v>29</v>
      </c>
      <c r="AF1" s="2" t="s">
        <v>13</v>
      </c>
      <c r="AG1" s="2" t="s">
        <v>36</v>
      </c>
      <c r="AH1" s="2" t="s">
        <v>75</v>
      </c>
      <c r="AK1" s="2" t="s">
        <v>29</v>
      </c>
      <c r="AL1" s="2" t="s">
        <v>13</v>
      </c>
    </row>
    <row r="2" spans="1:38" ht="51.75" customHeight="1" x14ac:dyDescent="0.25">
      <c r="A2" s="31"/>
      <c r="B2" s="23"/>
      <c r="C2" s="23"/>
      <c r="D2" s="22"/>
      <c r="E2" s="22"/>
      <c r="F2" s="22"/>
      <c r="G2" s="22"/>
      <c r="H2" s="42" t="e">
        <f>VLOOKUP(Table1[[#This Row],[ایندکس]],$Y$2:$Z$12,2,0)</f>
        <v>#N/A</v>
      </c>
      <c r="I2" s="42" t="e">
        <f>H2</f>
        <v>#N/A</v>
      </c>
      <c r="J2" s="42" t="e">
        <f>VLOOKUP(Table1[[#This Row],[نوع مقاله ]],$AA$2:$AB$11,2,0)</f>
        <v>#N/A</v>
      </c>
      <c r="K2" s="42" t="e">
        <f xml:space="preserve"> VLOOKUP(Table1[[#This Row],[تعداد نویسندگان]],$AE$2:$AF$22,2,0)</f>
        <v>#N/A</v>
      </c>
      <c r="L2" s="42" t="e">
        <f>VLOOKUP(Table1[[#This Row],[تعداد نویسندگان]],$AK$2:$AL$21,2,0)</f>
        <v>#N/A</v>
      </c>
      <c r="M2" s="42" t="e">
        <f>IF(Table1[[#This Row],[نوع مشارکت ]]="سایر",Table1[[#This Row],[ضریب نویسنده همکار]],Table1[[#This Row],[ضریب نویسنده مسسوول]])</f>
        <v>#N/A</v>
      </c>
      <c r="N2" s="42" t="e">
        <f>Table1[[#This Row],[امتیاز اولیه]]*Table1[[#This Row],[ضریب  نوع مقاله]]*M2</f>
        <v>#N/A</v>
      </c>
      <c r="O2" s="46" t="str">
        <f>IF(ISNUMBER(Table1[[#This Row],[ امتیاز کل]]),Table1[[#This Row],[ امتیاز کل]]," ")</f>
        <v xml:space="preserve"> </v>
      </c>
      <c r="P2" s="32"/>
      <c r="Y2" s="2" t="s">
        <v>122</v>
      </c>
      <c r="Z2" s="2">
        <v>6</v>
      </c>
      <c r="AA2" s="43" t="s">
        <v>14</v>
      </c>
      <c r="AB2" s="2">
        <v>1</v>
      </c>
      <c r="AD2" s="2" t="s">
        <v>30</v>
      </c>
      <c r="AE2" s="2">
        <v>1</v>
      </c>
      <c r="AF2" s="2">
        <v>0</v>
      </c>
      <c r="AH2" s="2" t="s">
        <v>37</v>
      </c>
      <c r="AK2" s="2">
        <v>1</v>
      </c>
      <c r="AL2" s="2">
        <v>0.9</v>
      </c>
    </row>
    <row r="3" spans="1:38" ht="51.75" customHeight="1" x14ac:dyDescent="0.25">
      <c r="A3" s="31"/>
      <c r="B3" s="23"/>
      <c r="C3" s="22"/>
      <c r="D3" s="22"/>
      <c r="E3" s="22"/>
      <c r="F3" s="22"/>
      <c r="G3" s="22"/>
      <c r="H3" s="42" t="e">
        <f>VLOOKUP(Table1[[#This Row],[ایندکس]],$Y$2:$Z$12,2,0)</f>
        <v>#N/A</v>
      </c>
      <c r="I3" s="42" t="e">
        <f t="shared" ref="I3:I26" si="0">H3</f>
        <v>#N/A</v>
      </c>
      <c r="J3" s="42" t="e">
        <f>VLOOKUP(Table1[[#This Row],[نوع مقاله ]],$AA$2:$AB$11,2,0)</f>
        <v>#N/A</v>
      </c>
      <c r="K3" s="42" t="e">
        <f xml:space="preserve"> VLOOKUP(Table1[[#This Row],[تعداد نویسندگان]],$AE$2:$AF$22,2,0)</f>
        <v>#N/A</v>
      </c>
      <c r="L3" s="42" t="e">
        <f>VLOOKUP(Table1[[#This Row],[تعداد نویسندگان]],$AK$2:$AL$21,2,0)</f>
        <v>#N/A</v>
      </c>
      <c r="M3" s="42" t="e">
        <f>IF(Table1[[#This Row],[نوع مشارکت ]]="سایر",Table1[[#This Row],[ضریب نویسنده همکار]],Table1[[#This Row],[ضریب نویسنده مسسوول]])</f>
        <v>#N/A</v>
      </c>
      <c r="N3" s="42" t="e">
        <f>Table1[[#This Row],[امتیاز اولیه]]*Table1[[#This Row],[ضریب  نوع مقاله]]*M3</f>
        <v>#N/A</v>
      </c>
      <c r="O3" s="46" t="str">
        <f>IF(ISNUMBER(Table1[[#This Row],[ امتیاز کل]]),Table1[[#This Row],[ امتیاز کل]]," ")</f>
        <v xml:space="preserve"> </v>
      </c>
      <c r="P3" s="32"/>
      <c r="Y3" s="2" t="s">
        <v>123</v>
      </c>
      <c r="Z3" s="2">
        <v>5</v>
      </c>
      <c r="AA3" s="43" t="s">
        <v>15</v>
      </c>
      <c r="AB3" s="2">
        <v>1</v>
      </c>
      <c r="AD3" s="2" t="s">
        <v>31</v>
      </c>
      <c r="AE3" s="2">
        <v>2</v>
      </c>
      <c r="AF3" s="2">
        <v>0.6</v>
      </c>
      <c r="AH3" s="2" t="s">
        <v>38</v>
      </c>
      <c r="AK3" s="2">
        <v>2</v>
      </c>
      <c r="AL3" s="2">
        <v>0.8</v>
      </c>
    </row>
    <row r="4" spans="1:38" ht="51.75" customHeight="1" x14ac:dyDescent="0.25">
      <c r="A4" s="31"/>
      <c r="B4" s="23"/>
      <c r="C4" s="23"/>
      <c r="D4" s="22"/>
      <c r="E4" s="22"/>
      <c r="F4" s="22"/>
      <c r="G4" s="22"/>
      <c r="H4" s="42" t="e">
        <f>VLOOKUP(Table1[[#This Row],[ایندکس]],$Y$2:$Z$12,2,0)</f>
        <v>#N/A</v>
      </c>
      <c r="I4" s="42" t="e">
        <f t="shared" si="0"/>
        <v>#N/A</v>
      </c>
      <c r="J4" s="42" t="e">
        <f>VLOOKUP(Table1[[#This Row],[نوع مقاله ]],$AA$2:$AB$11,2,0)</f>
        <v>#N/A</v>
      </c>
      <c r="K4" s="42" t="e">
        <f xml:space="preserve"> VLOOKUP(Table1[[#This Row],[تعداد نویسندگان]],$AE$2:$AF$22,2,0)</f>
        <v>#N/A</v>
      </c>
      <c r="L4" s="42" t="e">
        <f>VLOOKUP(Table1[[#This Row],[تعداد نویسندگان]],$AK$2:$AL$21,2,0)</f>
        <v>#N/A</v>
      </c>
      <c r="M4" s="42" t="e">
        <f>IF(Table1[[#This Row],[نوع مشارکت ]]="سایر",Table1[[#This Row],[ضریب نویسنده همکار]],Table1[[#This Row],[ضریب نویسنده مسسوول]])</f>
        <v>#N/A</v>
      </c>
      <c r="N4" s="42" t="e">
        <f>Table1[[#This Row],[امتیاز اولیه]]*Table1[[#This Row],[ضریب  نوع مقاله]]*M4</f>
        <v>#N/A</v>
      </c>
      <c r="O4" s="46" t="str">
        <f>IF(ISNUMBER(Table1[[#This Row],[ امتیاز کل]]),Table1[[#This Row],[ امتیاز کل]]," ")</f>
        <v xml:space="preserve"> </v>
      </c>
      <c r="P4" s="33"/>
      <c r="Y4" s="43" t="s">
        <v>8</v>
      </c>
      <c r="Z4" s="2">
        <v>5</v>
      </c>
      <c r="AA4" s="2" t="s">
        <v>17</v>
      </c>
      <c r="AB4" s="2">
        <v>1</v>
      </c>
      <c r="AE4" s="2">
        <v>3</v>
      </c>
      <c r="AF4" s="2">
        <v>0.5</v>
      </c>
      <c r="AH4" s="2" t="s">
        <v>39</v>
      </c>
      <c r="AK4" s="2">
        <v>3</v>
      </c>
      <c r="AL4" s="2">
        <v>0.7</v>
      </c>
    </row>
    <row r="5" spans="1:38" ht="78.75" customHeight="1" x14ac:dyDescent="0.25">
      <c r="A5" s="31"/>
      <c r="B5" s="23"/>
      <c r="C5" s="38"/>
      <c r="D5" s="22"/>
      <c r="E5" s="22"/>
      <c r="F5" s="22"/>
      <c r="G5" s="22"/>
      <c r="H5" s="42" t="e">
        <f>VLOOKUP(Table1[[#This Row],[ایندکس]],$Y$2:$Z$12,2,0)</f>
        <v>#N/A</v>
      </c>
      <c r="I5" s="42" t="e">
        <f t="shared" si="0"/>
        <v>#N/A</v>
      </c>
      <c r="J5" s="42" t="e">
        <f>VLOOKUP(Table1[[#This Row],[نوع مقاله ]],$AA$2:$AB$11,2,0)</f>
        <v>#N/A</v>
      </c>
      <c r="K5" s="42" t="e">
        <f xml:space="preserve"> VLOOKUP(Table1[[#This Row],[تعداد نویسندگان]],$AE$2:$AF$22,2,0)</f>
        <v>#N/A</v>
      </c>
      <c r="L5" s="42" t="e">
        <f>VLOOKUP(Table1[[#This Row],[تعداد نویسندگان]],$AK$2:$AL$21,2,0)</f>
        <v>#N/A</v>
      </c>
      <c r="M5" s="42" t="e">
        <f>IF(Table1[[#This Row],[نوع مشارکت ]]="سایر",Table1[[#This Row],[ضریب نویسنده همکار]],Table1[[#This Row],[ضریب نویسنده مسسوول]])</f>
        <v>#N/A</v>
      </c>
      <c r="N5" s="42" t="e">
        <f>Table1[[#This Row],[امتیاز اولیه]]*Table1[[#This Row],[ضریب  نوع مقاله]]*M5</f>
        <v>#N/A</v>
      </c>
      <c r="O5" s="46" t="str">
        <f>IF(ISNUMBER(Table1[[#This Row],[ امتیاز کل]]),Table1[[#This Row],[ امتیاز کل]]," ")</f>
        <v xml:space="preserve"> </v>
      </c>
      <c r="P5" s="33"/>
      <c r="Y5" s="2" t="s">
        <v>6</v>
      </c>
      <c r="Z5" s="2">
        <v>5</v>
      </c>
      <c r="AA5" s="2" t="s">
        <v>16</v>
      </c>
      <c r="AB5" s="2">
        <v>1</v>
      </c>
      <c r="AE5" s="2">
        <v>4</v>
      </c>
      <c r="AF5" s="2">
        <v>0.4</v>
      </c>
      <c r="AK5" s="2">
        <v>4</v>
      </c>
      <c r="AL5" s="2">
        <v>0.6</v>
      </c>
    </row>
    <row r="6" spans="1:38" ht="51.75" customHeight="1" x14ac:dyDescent="0.55000000000000004">
      <c r="A6" s="31"/>
      <c r="B6" s="23"/>
      <c r="C6" s="39"/>
      <c r="D6" s="22"/>
      <c r="E6" s="22"/>
      <c r="F6" s="22"/>
      <c r="G6" s="22"/>
      <c r="H6" s="42" t="e">
        <f>VLOOKUP(Table1[[#This Row],[ایندکس]],$Y$2:$Z$12,2,0)</f>
        <v>#N/A</v>
      </c>
      <c r="I6" s="42" t="e">
        <f t="shared" si="0"/>
        <v>#N/A</v>
      </c>
      <c r="J6" s="42" t="e">
        <f>VLOOKUP(Table1[[#This Row],[نوع مقاله ]],$AA$2:$AB$11,2,0)</f>
        <v>#N/A</v>
      </c>
      <c r="K6" s="42" t="e">
        <f xml:space="preserve"> VLOOKUP(Table1[[#This Row],[تعداد نویسندگان]],$AE$2:$AF$22,2,0)</f>
        <v>#N/A</v>
      </c>
      <c r="L6" s="42" t="e">
        <f>VLOOKUP(Table1[[#This Row],[تعداد نویسندگان]],$AK$2:$AL$21,2,0)</f>
        <v>#N/A</v>
      </c>
      <c r="M6" s="42" t="e">
        <f>IF(Table1[[#This Row],[نوع مشارکت ]]="سایر",Table1[[#This Row],[ضریب نویسنده همکار]],Table1[[#This Row],[ضریب نویسنده مسسوول]])</f>
        <v>#N/A</v>
      </c>
      <c r="N6" s="42" t="e">
        <f>Table1[[#This Row],[امتیاز اولیه]]*Table1[[#This Row],[ضریب  نوع مقاله]]*M6</f>
        <v>#N/A</v>
      </c>
      <c r="O6" s="46" t="str">
        <f>IF(ISNUMBER(Table1[[#This Row],[ امتیاز کل]]),Table1[[#This Row],[ امتیاز کل]]," ")</f>
        <v xml:space="preserve"> </v>
      </c>
      <c r="P6" s="33"/>
      <c r="Y6" s="2" t="s">
        <v>7</v>
      </c>
      <c r="Z6" s="2">
        <v>5</v>
      </c>
      <c r="AA6" s="44" t="s">
        <v>20</v>
      </c>
      <c r="AB6" s="47">
        <f>1/2</f>
        <v>0.5</v>
      </c>
      <c r="AE6" s="2">
        <v>5</v>
      </c>
      <c r="AF6" s="2">
        <v>0.3</v>
      </c>
      <c r="AK6" s="2">
        <v>5</v>
      </c>
      <c r="AL6" s="2">
        <v>0.55000000000000004</v>
      </c>
    </row>
    <row r="7" spans="1:38" ht="51.75" customHeight="1" x14ac:dyDescent="0.25">
      <c r="A7" s="31"/>
      <c r="B7" s="23"/>
      <c r="C7" s="22"/>
      <c r="D7" s="22"/>
      <c r="E7" s="22"/>
      <c r="F7" s="22"/>
      <c r="G7" s="22"/>
      <c r="H7" s="42" t="e">
        <f>VLOOKUP(Table1[[#This Row],[ایندکس]],$Y$2:$Z$12,2,0)</f>
        <v>#N/A</v>
      </c>
      <c r="I7" s="42" t="e">
        <f t="shared" si="0"/>
        <v>#N/A</v>
      </c>
      <c r="J7" s="42" t="e">
        <f>VLOOKUP(Table1[[#This Row],[نوع مقاله ]],$AA$2:$AB$11,2,0)</f>
        <v>#N/A</v>
      </c>
      <c r="K7" s="42" t="e">
        <f xml:space="preserve"> VLOOKUP(Table1[[#This Row],[تعداد نویسندگان]],$AE$2:$AF$22,2,0)</f>
        <v>#N/A</v>
      </c>
      <c r="L7" s="42" t="e">
        <f>VLOOKUP(Table1[[#This Row],[تعداد نویسندگان]],$AK$2:$AL$21,2,0)</f>
        <v>#N/A</v>
      </c>
      <c r="M7" s="42" t="e">
        <f>IF(Table1[[#This Row],[نوع مشارکت ]]="سایر",Table1[[#This Row],[ضریب نویسنده همکار]],Table1[[#This Row],[ضریب نویسنده مسسوول]])</f>
        <v>#N/A</v>
      </c>
      <c r="N7" s="42" t="e">
        <f>Table1[[#This Row],[امتیاز اولیه]]*Table1[[#This Row],[ضریب  نوع مقاله]]*M7</f>
        <v>#N/A</v>
      </c>
      <c r="O7" s="46" t="str">
        <f>IF(ISNUMBER(Table1[[#This Row],[ امتیاز کل]]),Table1[[#This Row],[ امتیاز کل]]," ")</f>
        <v xml:space="preserve"> </v>
      </c>
      <c r="P7" s="33"/>
      <c r="Y7" s="43" t="s">
        <v>12</v>
      </c>
      <c r="Z7" s="2">
        <v>3</v>
      </c>
      <c r="AA7" s="2" t="s">
        <v>18</v>
      </c>
      <c r="AB7" s="47">
        <f t="shared" ref="AB7:AB8" si="1">1/2</f>
        <v>0.5</v>
      </c>
      <c r="AE7" s="2">
        <v>6</v>
      </c>
      <c r="AF7" s="2">
        <v>0.25</v>
      </c>
      <c r="AK7" s="2">
        <v>6</v>
      </c>
      <c r="AL7" s="2">
        <v>0.45</v>
      </c>
    </row>
    <row r="8" spans="1:38" ht="51.75" customHeight="1" x14ac:dyDescent="0.25">
      <c r="A8" s="31"/>
      <c r="B8" s="23"/>
      <c r="C8" s="22"/>
      <c r="D8" s="22"/>
      <c r="E8" s="22"/>
      <c r="F8" s="22"/>
      <c r="G8" s="22"/>
      <c r="H8" s="42" t="e">
        <f>VLOOKUP(Table1[[#This Row],[ایندکس]],$Y$2:$Z$12,2,0)</f>
        <v>#N/A</v>
      </c>
      <c r="I8" s="42" t="e">
        <f t="shared" si="0"/>
        <v>#N/A</v>
      </c>
      <c r="J8" s="42" t="e">
        <f>VLOOKUP(Table1[[#This Row],[نوع مقاله ]],$AA$2:$AB$11,2,0)</f>
        <v>#N/A</v>
      </c>
      <c r="K8" s="42" t="e">
        <f xml:space="preserve"> VLOOKUP(Table1[[#This Row],[تعداد نویسندگان]],$AE$2:$AF$22,2,0)</f>
        <v>#N/A</v>
      </c>
      <c r="L8" s="42" t="e">
        <f>VLOOKUP(Table1[[#This Row],[تعداد نویسندگان]],$AK$2:$AL$21,2,0)</f>
        <v>#N/A</v>
      </c>
      <c r="M8" s="42" t="e">
        <f>IF(Table1[[#This Row],[نوع مشارکت ]]="سایر",Table1[[#This Row],[ضریب نویسنده همکار]],Table1[[#This Row],[ضریب نویسنده مسسوول]])</f>
        <v>#N/A</v>
      </c>
      <c r="N8" s="42" t="e">
        <f>Table1[[#This Row],[امتیاز اولیه]]*Table1[[#This Row],[ضریب  نوع مقاله]]*M8</f>
        <v>#N/A</v>
      </c>
      <c r="O8" s="46" t="str">
        <f>IF(ISNUMBER(Table1[[#This Row],[ امتیاز کل]]),Table1[[#This Row],[ امتیاز کل]]," ")</f>
        <v xml:space="preserve"> </v>
      </c>
      <c r="P8" s="33"/>
      <c r="Y8" s="2" t="s">
        <v>9</v>
      </c>
      <c r="Z8" s="2">
        <v>2</v>
      </c>
      <c r="AA8" s="2" t="s">
        <v>19</v>
      </c>
      <c r="AB8" s="47">
        <f t="shared" si="1"/>
        <v>0.5</v>
      </c>
      <c r="AE8" s="2">
        <v>7</v>
      </c>
      <c r="AF8" s="47">
        <f>1.25/AE8</f>
        <v>0.17857142857142858</v>
      </c>
      <c r="AK8" s="2">
        <v>7</v>
      </c>
      <c r="AL8" s="2">
        <v>0.45</v>
      </c>
    </row>
    <row r="9" spans="1:38" ht="51.75" customHeight="1" x14ac:dyDescent="0.55000000000000004">
      <c r="A9" s="31"/>
      <c r="B9" s="23"/>
      <c r="C9" s="22"/>
      <c r="D9" s="22"/>
      <c r="E9" s="22"/>
      <c r="F9" s="22"/>
      <c r="G9" s="22"/>
      <c r="H9" s="42" t="e">
        <f>VLOOKUP(Table1[[#This Row],[ایندکس]],$Y$2:$Z$12,2,0)</f>
        <v>#N/A</v>
      </c>
      <c r="I9" s="42" t="e">
        <f t="shared" si="0"/>
        <v>#N/A</v>
      </c>
      <c r="J9" s="42" t="e">
        <f>VLOOKUP(Table1[[#This Row],[نوع مقاله ]],$AA$2:$AB$11,2,0)</f>
        <v>#N/A</v>
      </c>
      <c r="K9" s="42" t="e">
        <f xml:space="preserve"> VLOOKUP(Table1[[#This Row],[تعداد نویسندگان]],$AE$2:$AF$22,2,0)</f>
        <v>#N/A</v>
      </c>
      <c r="L9" s="42" t="e">
        <f>VLOOKUP(Table1[[#This Row],[تعداد نویسندگان]],$AK$2:$AL$21,2,0)</f>
        <v>#N/A</v>
      </c>
      <c r="M9" s="42" t="e">
        <f>IF(Table1[[#This Row],[نوع مشارکت ]]="سایر",Table1[[#This Row],[ضریب نویسنده همکار]],Table1[[#This Row],[ضریب نویسنده مسسوول]])</f>
        <v>#N/A</v>
      </c>
      <c r="N9" s="42" t="e">
        <f>Table1[[#This Row],[امتیاز اولیه]]*Table1[[#This Row],[ضریب  نوع مقاله]]*M9</f>
        <v>#N/A</v>
      </c>
      <c r="O9" s="46" t="str">
        <f>IF(ISNUMBER(Table1[[#This Row],[ امتیاز کل]]),Table1[[#This Row],[ امتیاز کل]]," ")</f>
        <v xml:space="preserve"> </v>
      </c>
      <c r="P9" s="33"/>
      <c r="Y9" s="2" t="s">
        <v>10</v>
      </c>
      <c r="Z9" s="2">
        <v>2</v>
      </c>
      <c r="AA9" s="44" t="s">
        <v>21</v>
      </c>
      <c r="AB9" s="2">
        <v>0.34</v>
      </c>
      <c r="AE9" s="2">
        <v>8</v>
      </c>
      <c r="AF9" s="47">
        <f t="shared" ref="AF9:AF21" si="2">1.25/AE9</f>
        <v>0.15625</v>
      </c>
      <c r="AK9" s="2">
        <v>8</v>
      </c>
      <c r="AL9" s="2">
        <v>0.45</v>
      </c>
    </row>
    <row r="10" spans="1:38" ht="51.75" customHeight="1" x14ac:dyDescent="0.25">
      <c r="A10" s="31"/>
      <c r="B10" s="22"/>
      <c r="C10" s="22"/>
      <c r="D10" s="22"/>
      <c r="E10" s="22"/>
      <c r="F10" s="22"/>
      <c r="G10" s="22"/>
      <c r="H10" s="42" t="e">
        <f>VLOOKUP(Table1[[#This Row],[ایندکس]],$Y$2:$Z$12,2,0)</f>
        <v>#N/A</v>
      </c>
      <c r="I10" s="42" t="e">
        <f t="shared" si="0"/>
        <v>#N/A</v>
      </c>
      <c r="J10" s="42" t="e">
        <f>VLOOKUP(Table1[[#This Row],[نوع مقاله ]],$AA$2:$AB$11,2,0)</f>
        <v>#N/A</v>
      </c>
      <c r="K10" s="42" t="e">
        <f xml:space="preserve"> VLOOKUP(Table1[[#This Row],[تعداد نویسندگان]],$AE$2:$AF$22,2,0)</f>
        <v>#N/A</v>
      </c>
      <c r="L10" s="42" t="e">
        <f>VLOOKUP(Table1[[#This Row],[تعداد نویسندگان]],$AK$2:$AL$21,2,0)</f>
        <v>#N/A</v>
      </c>
      <c r="M10" s="42" t="e">
        <f>IF(Table1[[#This Row],[نوع مشارکت ]]="سایر",Table1[[#This Row],[ضریب نویسنده همکار]],Table1[[#This Row],[ضریب نویسنده مسسوول]])</f>
        <v>#N/A</v>
      </c>
      <c r="N10" s="42" t="e">
        <f>Table1[[#This Row],[امتیاز اولیه]]*Table1[[#This Row],[ضریب  نوع مقاله]]*M10</f>
        <v>#N/A</v>
      </c>
      <c r="O10" s="37"/>
      <c r="P10" s="33"/>
      <c r="Y10" s="2" t="s">
        <v>11</v>
      </c>
      <c r="Z10" s="2">
        <v>2</v>
      </c>
      <c r="AA10" s="2" t="s">
        <v>22</v>
      </c>
      <c r="AB10" s="2">
        <v>0.34</v>
      </c>
      <c r="AE10" s="2">
        <v>9</v>
      </c>
      <c r="AF10" s="47">
        <f t="shared" si="2"/>
        <v>0.1388888888888889</v>
      </c>
      <c r="AK10" s="2">
        <v>9</v>
      </c>
      <c r="AL10" s="2">
        <v>0.45</v>
      </c>
    </row>
    <row r="11" spans="1:38" ht="51.75" customHeight="1" x14ac:dyDescent="0.55000000000000004">
      <c r="A11" s="31"/>
      <c r="B11" s="22"/>
      <c r="C11" s="22"/>
      <c r="D11" s="22"/>
      <c r="E11" s="22"/>
      <c r="F11" s="22"/>
      <c r="G11" s="22"/>
      <c r="H11" s="42" t="e">
        <f>VLOOKUP(Table1[[#This Row],[ایندکس]],$Y$2:$Z$12,2,0)</f>
        <v>#N/A</v>
      </c>
      <c r="I11" s="42" t="e">
        <f t="shared" si="0"/>
        <v>#N/A</v>
      </c>
      <c r="J11" s="42" t="e">
        <f>VLOOKUP(Table1[[#This Row],[نوع مقاله ]],$AA$2:$AB$11,2,0)</f>
        <v>#N/A</v>
      </c>
      <c r="K11" s="42" t="e">
        <f xml:space="preserve"> VLOOKUP(Table1[[#This Row],[تعداد نویسندگان]],$AE$2:$AF$22,2,0)</f>
        <v>#N/A</v>
      </c>
      <c r="L11" s="42" t="e">
        <f>VLOOKUP(Table1[[#This Row],[تعداد نویسندگان]],$AK$2:$AL$21,2,0)</f>
        <v>#N/A</v>
      </c>
      <c r="M11" s="42" t="e">
        <f>IF(Table1[[#This Row],[نوع مشارکت ]]="سایر",Table1[[#This Row],[ضریب نویسنده همکار]],Table1[[#This Row],[ضریب نویسنده مسسوول]])</f>
        <v>#N/A</v>
      </c>
      <c r="N11" s="42" t="e">
        <f>Table1[[#This Row],[امتیاز اولیه]]*Table1[[#This Row],[ضریب  نوع مقاله]]*M11</f>
        <v>#N/A</v>
      </c>
      <c r="O11" s="46" t="str">
        <f>IF(ISNUMBER(Table1[[#This Row],[ امتیاز کل]]),Table1[[#This Row],[ امتیاز کل]]," ")</f>
        <v xml:space="preserve"> </v>
      </c>
      <c r="P11" s="33"/>
      <c r="Y11" s="2" t="s">
        <v>24</v>
      </c>
      <c r="Z11" s="2">
        <v>2</v>
      </c>
      <c r="AA11" s="43" t="s">
        <v>23</v>
      </c>
      <c r="AB11" s="47">
        <f>1/4</f>
        <v>0.25</v>
      </c>
      <c r="AE11" s="2">
        <v>10</v>
      </c>
      <c r="AF11" s="47">
        <f t="shared" si="2"/>
        <v>0.125</v>
      </c>
      <c r="AK11" s="2">
        <v>10</v>
      </c>
      <c r="AL11" s="2">
        <v>0.45</v>
      </c>
    </row>
    <row r="12" spans="1:38" ht="51.75" customHeight="1" x14ac:dyDescent="0.25">
      <c r="A12" s="31"/>
      <c r="B12" s="22"/>
      <c r="C12" s="22"/>
      <c r="D12" s="22"/>
      <c r="E12" s="22"/>
      <c r="F12" s="22"/>
      <c r="G12" s="22"/>
      <c r="H12" s="42" t="e">
        <f>VLOOKUP(Table1[[#This Row],[ایندکس]],$Y$2:$Z$12,2,0)</f>
        <v>#N/A</v>
      </c>
      <c r="I12" s="42" t="e">
        <f t="shared" si="0"/>
        <v>#N/A</v>
      </c>
      <c r="J12" s="42" t="e">
        <f>VLOOKUP(Table1[[#This Row],[نوع مقاله ]],$AA$2:$AB$11,2,0)</f>
        <v>#N/A</v>
      </c>
      <c r="K12" s="42" t="e">
        <f xml:space="preserve"> VLOOKUP(Table1[[#This Row],[تعداد نویسندگان]],$AE$2:$AF$22,2,0)</f>
        <v>#N/A</v>
      </c>
      <c r="L12" s="42" t="e">
        <f>VLOOKUP(Table1[[#This Row],[تعداد نویسندگان]],$AK$2:$AL$21,2,0)</f>
        <v>#N/A</v>
      </c>
      <c r="M12" s="42" t="e">
        <f>IF(Table1[[#This Row],[نوع مشارکت ]]="سایر",Table1[[#This Row],[ضریب نویسنده همکار]],Table1[[#This Row],[ضریب نویسنده مسسوول]])</f>
        <v>#N/A</v>
      </c>
      <c r="N12" s="42" t="e">
        <f>Table1[[#This Row],[امتیاز اولیه]]*Table1[[#This Row],[ضریب  نوع مقاله]]*M12</f>
        <v>#N/A</v>
      </c>
      <c r="O12" s="46" t="str">
        <f>IF(ISNUMBER(Table1[[#This Row],[ امتیاز کل]]),Table1[[#This Row],[ امتیاز کل]]," ")</f>
        <v xml:space="preserve"> </v>
      </c>
      <c r="P12" s="33"/>
      <c r="Y12" s="45" t="s">
        <v>25</v>
      </c>
      <c r="Z12" s="2">
        <v>1</v>
      </c>
      <c r="AE12" s="2">
        <v>11</v>
      </c>
      <c r="AF12" s="47">
        <f t="shared" si="2"/>
        <v>0.11363636363636363</v>
      </c>
      <c r="AK12" s="2">
        <v>11</v>
      </c>
      <c r="AL12" s="2">
        <v>0.45</v>
      </c>
    </row>
    <row r="13" spans="1:38" ht="51.75" customHeight="1" x14ac:dyDescent="0.25">
      <c r="A13" s="31"/>
      <c r="B13" s="22"/>
      <c r="C13" s="22"/>
      <c r="D13" s="22"/>
      <c r="E13" s="22"/>
      <c r="F13" s="22"/>
      <c r="G13" s="22"/>
      <c r="H13" s="42" t="e">
        <f>VLOOKUP(Table1[[#This Row],[ایندکس]],$Y$2:$Z$12,2,0)</f>
        <v>#N/A</v>
      </c>
      <c r="I13" s="42" t="e">
        <f t="shared" si="0"/>
        <v>#N/A</v>
      </c>
      <c r="J13" s="42" t="e">
        <f>VLOOKUP(Table1[[#This Row],[نوع مقاله ]],$AA$2:$AB$11,2,0)</f>
        <v>#N/A</v>
      </c>
      <c r="K13" s="42" t="e">
        <f xml:space="preserve"> VLOOKUP(Table1[[#This Row],[تعداد نویسندگان]],$AE$2:$AF$22,2,0)</f>
        <v>#N/A</v>
      </c>
      <c r="L13" s="42" t="e">
        <f>VLOOKUP(Table1[[#This Row],[تعداد نویسندگان]],$AK$2:$AL$21,2,0)</f>
        <v>#N/A</v>
      </c>
      <c r="M13" s="42" t="e">
        <f>IF(Table1[[#This Row],[نوع مشارکت ]]="سایر",Table1[[#This Row],[ضریب نویسنده همکار]],Table1[[#This Row],[ضریب نویسنده مسسوول]])</f>
        <v>#N/A</v>
      </c>
      <c r="N13" s="42" t="e">
        <f>Table1[[#This Row],[امتیاز اولیه]]*Table1[[#This Row],[ضریب  نوع مقاله]]*M13</f>
        <v>#N/A</v>
      </c>
      <c r="O13" s="46" t="str">
        <f>IF(ISNUMBER(Table1[[#This Row],[ امتیاز کل]]),Table1[[#This Row],[ امتیاز کل]]," ")</f>
        <v xml:space="preserve"> </v>
      </c>
      <c r="P13" s="33"/>
      <c r="Y13" s="45" t="s">
        <v>124</v>
      </c>
      <c r="Z13" s="2">
        <v>0.5</v>
      </c>
      <c r="AE13" s="2">
        <v>12</v>
      </c>
      <c r="AF13" s="47">
        <f t="shared" si="2"/>
        <v>0.10416666666666667</v>
      </c>
      <c r="AK13" s="2">
        <v>12</v>
      </c>
      <c r="AL13" s="2">
        <v>0.45</v>
      </c>
    </row>
    <row r="14" spans="1:38" ht="51.75" customHeight="1" x14ac:dyDescent="0.25">
      <c r="A14" s="31"/>
      <c r="B14" s="22"/>
      <c r="C14" s="22"/>
      <c r="D14" s="22"/>
      <c r="E14" s="22"/>
      <c r="F14" s="22"/>
      <c r="G14" s="22"/>
      <c r="H14" s="42" t="e">
        <f>VLOOKUP(Table1[[#This Row],[ایندکس]],$Y$2:$Z$12,2,0)</f>
        <v>#N/A</v>
      </c>
      <c r="I14" s="42" t="e">
        <f t="shared" si="0"/>
        <v>#N/A</v>
      </c>
      <c r="J14" s="42" t="e">
        <f>VLOOKUP(Table1[[#This Row],[نوع مقاله ]],$AA$2:$AB$11,2,0)</f>
        <v>#N/A</v>
      </c>
      <c r="K14" s="42" t="e">
        <f xml:space="preserve"> VLOOKUP(Table1[[#This Row],[تعداد نویسندگان]],$AE$2:$AF$22,2,0)</f>
        <v>#N/A</v>
      </c>
      <c r="L14" s="42" t="e">
        <f>VLOOKUP(Table1[[#This Row],[تعداد نویسندگان]],$AK$2:$AL$21,2,0)</f>
        <v>#N/A</v>
      </c>
      <c r="M14" s="42" t="e">
        <f>IF(Table1[[#This Row],[نوع مشارکت ]]="سایر",Table1[[#This Row],[ضریب نویسنده همکار]],Table1[[#This Row],[ضریب نویسنده مسسوول]])</f>
        <v>#N/A</v>
      </c>
      <c r="N14" s="42" t="e">
        <f>Table1[[#This Row],[امتیاز اولیه]]*Table1[[#This Row],[ضریب  نوع مقاله]]*M14</f>
        <v>#N/A</v>
      </c>
      <c r="O14" s="46" t="str">
        <f>IF(ISNUMBER(Table1[[#This Row],[ امتیاز کل]]),Table1[[#This Row],[ امتیاز کل]]," ")</f>
        <v xml:space="preserve"> </v>
      </c>
      <c r="P14" s="33"/>
      <c r="AE14" s="2">
        <v>13</v>
      </c>
      <c r="AF14" s="47">
        <f t="shared" si="2"/>
        <v>9.6153846153846159E-2</v>
      </c>
      <c r="AK14" s="2">
        <v>13</v>
      </c>
      <c r="AL14" s="2">
        <v>0.45</v>
      </c>
    </row>
    <row r="15" spans="1:38" ht="51.75" customHeight="1" x14ac:dyDescent="0.25">
      <c r="A15" s="31"/>
      <c r="B15" s="22"/>
      <c r="C15" s="22"/>
      <c r="D15" s="22"/>
      <c r="E15" s="22"/>
      <c r="F15" s="22"/>
      <c r="G15" s="22"/>
      <c r="H15" s="42" t="e">
        <f>VLOOKUP(Table1[[#This Row],[ایندکس]],$Y$2:$Z$12,2,0)</f>
        <v>#N/A</v>
      </c>
      <c r="I15" s="42" t="e">
        <f t="shared" si="0"/>
        <v>#N/A</v>
      </c>
      <c r="J15" s="42" t="e">
        <f>VLOOKUP(Table1[[#This Row],[نوع مقاله ]],$AA$2:$AB$11,2,0)</f>
        <v>#N/A</v>
      </c>
      <c r="K15" s="42" t="e">
        <f xml:space="preserve"> VLOOKUP(Table1[[#This Row],[تعداد نویسندگان]],$AE$2:$AF$22,2,0)</f>
        <v>#N/A</v>
      </c>
      <c r="L15" s="42" t="e">
        <f>VLOOKUP(Table1[[#This Row],[تعداد نویسندگان]],$AK$2:$AL$21,2,0)</f>
        <v>#N/A</v>
      </c>
      <c r="M15" s="42" t="e">
        <f>IF(Table1[[#This Row],[نوع مشارکت ]]="سایر",Table1[[#This Row],[ضریب نویسنده همکار]],Table1[[#This Row],[ضریب نویسنده مسسوول]])</f>
        <v>#N/A</v>
      </c>
      <c r="N15" s="42" t="e">
        <f>Table1[[#This Row],[امتیاز اولیه]]*Table1[[#This Row],[ضریب  نوع مقاله]]*M15</f>
        <v>#N/A</v>
      </c>
      <c r="O15" s="46" t="str">
        <f>IF(ISNUMBER(Table1[[#This Row],[ امتیاز کل]]),Table1[[#This Row],[ امتیاز کل]]," ")</f>
        <v xml:space="preserve"> </v>
      </c>
      <c r="P15" s="33"/>
      <c r="AE15" s="2">
        <v>14</v>
      </c>
      <c r="AF15" s="47">
        <f t="shared" si="2"/>
        <v>8.9285714285714288E-2</v>
      </c>
      <c r="AK15" s="2">
        <v>14</v>
      </c>
      <c r="AL15" s="2">
        <v>0.45</v>
      </c>
    </row>
    <row r="16" spans="1:38" ht="51.75" customHeight="1" x14ac:dyDescent="0.25">
      <c r="A16" s="31"/>
      <c r="B16" s="22"/>
      <c r="C16" s="22"/>
      <c r="D16" s="22"/>
      <c r="E16" s="22"/>
      <c r="F16" s="22"/>
      <c r="G16" s="22"/>
      <c r="H16" s="42" t="e">
        <f>VLOOKUP(Table1[[#This Row],[ایندکس]],$Y$2:$Z$12,2,0)</f>
        <v>#N/A</v>
      </c>
      <c r="I16" s="42" t="e">
        <f t="shared" si="0"/>
        <v>#N/A</v>
      </c>
      <c r="J16" s="42" t="e">
        <f>VLOOKUP(Table1[[#This Row],[نوع مقاله ]],$AA$2:$AB$11,2,0)</f>
        <v>#N/A</v>
      </c>
      <c r="K16" s="42" t="e">
        <f xml:space="preserve"> VLOOKUP(Table1[[#This Row],[تعداد نویسندگان]],$AE$2:$AF$22,2,0)</f>
        <v>#N/A</v>
      </c>
      <c r="L16" s="42" t="e">
        <f>VLOOKUP(Table1[[#This Row],[تعداد نویسندگان]],$AK$2:$AL$21,2,0)</f>
        <v>#N/A</v>
      </c>
      <c r="M16" s="42" t="e">
        <f>IF(Table1[[#This Row],[نوع مشارکت ]]="سایر",Table1[[#This Row],[ضریب نویسنده همکار]],Table1[[#This Row],[ضریب نویسنده مسسوول]])</f>
        <v>#N/A</v>
      </c>
      <c r="N16" s="42" t="e">
        <f>Table1[[#This Row],[امتیاز اولیه]]*Table1[[#This Row],[ضریب  نوع مقاله]]*M16</f>
        <v>#N/A</v>
      </c>
      <c r="O16" s="46" t="str">
        <f>IF(ISNUMBER(Table1[[#This Row],[ امتیاز کل]]),Table1[[#This Row],[ امتیاز کل]]," ")</f>
        <v xml:space="preserve"> </v>
      </c>
      <c r="P16" s="33"/>
      <c r="AE16" s="2">
        <v>15</v>
      </c>
      <c r="AF16" s="47">
        <f t="shared" si="2"/>
        <v>8.3333333333333329E-2</v>
      </c>
      <c r="AK16" s="2">
        <v>15</v>
      </c>
      <c r="AL16" s="2">
        <v>0.45</v>
      </c>
    </row>
    <row r="17" spans="1:38" ht="51.75" customHeight="1" x14ac:dyDescent="0.25">
      <c r="A17" s="31"/>
      <c r="B17" s="22"/>
      <c r="C17" s="22"/>
      <c r="D17" s="22"/>
      <c r="E17" s="22"/>
      <c r="F17" s="22"/>
      <c r="G17" s="22"/>
      <c r="H17" s="42" t="e">
        <f>VLOOKUP(Table1[[#This Row],[ایندکس]],$Y$2:$Z$12,2,0)</f>
        <v>#N/A</v>
      </c>
      <c r="I17" s="42" t="e">
        <f t="shared" si="0"/>
        <v>#N/A</v>
      </c>
      <c r="J17" s="42" t="e">
        <f>VLOOKUP(Table1[[#This Row],[نوع مقاله ]],$AA$2:$AB$11,2,0)</f>
        <v>#N/A</v>
      </c>
      <c r="K17" s="42" t="e">
        <f xml:space="preserve"> VLOOKUP(Table1[[#This Row],[تعداد نویسندگان]],$AE$2:$AF$22,2,0)</f>
        <v>#N/A</v>
      </c>
      <c r="L17" s="42" t="e">
        <f>VLOOKUP(Table1[[#This Row],[تعداد نویسندگان]],$AK$2:$AL$21,2,0)</f>
        <v>#N/A</v>
      </c>
      <c r="M17" s="42" t="e">
        <f>IF(Table1[[#This Row],[نوع مشارکت ]]="سایر",Table1[[#This Row],[ضریب نویسنده همکار]],Table1[[#This Row],[ضریب نویسنده مسسوول]])</f>
        <v>#N/A</v>
      </c>
      <c r="N17" s="42" t="e">
        <f>Table1[[#This Row],[امتیاز اولیه]]*Table1[[#This Row],[ضریب  نوع مقاله]]*M17</f>
        <v>#N/A</v>
      </c>
      <c r="O17" s="46" t="str">
        <f>IF(ISNUMBER(Table1[[#This Row],[ امتیاز کل]]),Table1[[#This Row],[ امتیاز کل]]," ")</f>
        <v xml:space="preserve"> </v>
      </c>
      <c r="P17" s="33"/>
      <c r="AE17" s="2">
        <v>16</v>
      </c>
      <c r="AF17" s="47">
        <f t="shared" si="2"/>
        <v>7.8125E-2</v>
      </c>
      <c r="AK17" s="2">
        <v>16</v>
      </c>
      <c r="AL17" s="2">
        <v>0.45</v>
      </c>
    </row>
    <row r="18" spans="1:38" ht="51.75" customHeight="1" x14ac:dyDescent="0.25">
      <c r="A18" s="31"/>
      <c r="B18" s="22"/>
      <c r="C18" s="22"/>
      <c r="D18" s="22"/>
      <c r="E18" s="22"/>
      <c r="F18" s="22"/>
      <c r="G18" s="22"/>
      <c r="H18" s="42" t="e">
        <f>VLOOKUP(Table1[[#This Row],[ایندکس]],$Y$2:$Z$12,2,0)</f>
        <v>#N/A</v>
      </c>
      <c r="I18" s="42" t="e">
        <f t="shared" si="0"/>
        <v>#N/A</v>
      </c>
      <c r="J18" s="42" t="e">
        <f>VLOOKUP(Table1[[#This Row],[نوع مقاله ]],$AA$2:$AB$11,2,0)</f>
        <v>#N/A</v>
      </c>
      <c r="K18" s="42" t="e">
        <f xml:space="preserve"> VLOOKUP(Table1[[#This Row],[تعداد نویسندگان]],$AE$2:$AF$22,2,0)</f>
        <v>#N/A</v>
      </c>
      <c r="L18" s="42" t="e">
        <f>VLOOKUP(Table1[[#This Row],[تعداد نویسندگان]],$AK$2:$AL$21,2,0)</f>
        <v>#N/A</v>
      </c>
      <c r="M18" s="42" t="e">
        <f>IF(Table1[[#This Row],[نوع مشارکت ]]="سایر",Table1[[#This Row],[ضریب نویسنده همکار]],Table1[[#This Row],[ضریب نویسنده مسسوول]])</f>
        <v>#N/A</v>
      </c>
      <c r="N18" s="42" t="e">
        <f>Table1[[#This Row],[امتیاز اولیه]]*Table1[[#This Row],[ضریب  نوع مقاله]]*M18</f>
        <v>#N/A</v>
      </c>
      <c r="O18" s="46" t="str">
        <f>IF(ISNUMBER(Table1[[#This Row],[ امتیاز کل]]),Table1[[#This Row],[ امتیاز کل]]," ")</f>
        <v xml:space="preserve"> </v>
      </c>
      <c r="P18" s="33"/>
      <c r="AE18" s="2">
        <v>17</v>
      </c>
      <c r="AF18" s="47">
        <f t="shared" si="2"/>
        <v>7.3529411764705885E-2</v>
      </c>
      <c r="AK18" s="2">
        <v>17</v>
      </c>
      <c r="AL18" s="2">
        <v>0.45</v>
      </c>
    </row>
    <row r="19" spans="1:38" ht="51.75" customHeight="1" x14ac:dyDescent="0.25">
      <c r="A19" s="31"/>
      <c r="B19" s="22"/>
      <c r="C19" s="22"/>
      <c r="D19" s="22"/>
      <c r="E19" s="22"/>
      <c r="F19" s="22"/>
      <c r="G19" s="22"/>
      <c r="H19" s="42" t="e">
        <f>VLOOKUP(Table1[[#This Row],[ایندکس]],$Y$2:$Z$12,2,0)</f>
        <v>#N/A</v>
      </c>
      <c r="I19" s="42" t="e">
        <f t="shared" si="0"/>
        <v>#N/A</v>
      </c>
      <c r="J19" s="42" t="e">
        <f>VLOOKUP(Table1[[#This Row],[نوع مقاله ]],$AA$2:$AB$11,2,0)</f>
        <v>#N/A</v>
      </c>
      <c r="K19" s="42" t="e">
        <f xml:space="preserve"> VLOOKUP(Table1[[#This Row],[تعداد نویسندگان]],$AE$2:$AF$22,2,0)</f>
        <v>#N/A</v>
      </c>
      <c r="L19" s="42" t="e">
        <f>VLOOKUP(Table1[[#This Row],[تعداد نویسندگان]],$AK$2:$AL$21,2,0)</f>
        <v>#N/A</v>
      </c>
      <c r="M19" s="42" t="e">
        <f>IF(Table1[[#This Row],[نوع مشارکت ]]="سایر",Table1[[#This Row],[ضریب نویسنده همکار]],Table1[[#This Row],[ضریب نویسنده مسسوول]])</f>
        <v>#N/A</v>
      </c>
      <c r="N19" s="42" t="e">
        <f>Table1[[#This Row],[امتیاز اولیه]]*Table1[[#This Row],[ضریب  نوع مقاله]]*M19</f>
        <v>#N/A</v>
      </c>
      <c r="O19" s="46" t="str">
        <f>IF(ISNUMBER(Table1[[#This Row],[ امتیاز کل]]),Table1[[#This Row],[ امتیاز کل]]," ")</f>
        <v xml:space="preserve"> </v>
      </c>
      <c r="P19" s="33"/>
      <c r="AE19" s="2">
        <v>18</v>
      </c>
      <c r="AF19" s="47">
        <f t="shared" si="2"/>
        <v>6.9444444444444448E-2</v>
      </c>
      <c r="AK19" s="2">
        <v>18</v>
      </c>
      <c r="AL19" s="2">
        <v>0.45</v>
      </c>
    </row>
    <row r="20" spans="1:38" ht="51.75" customHeight="1" x14ac:dyDescent="0.25">
      <c r="A20" s="31"/>
      <c r="B20" s="22"/>
      <c r="C20" s="22"/>
      <c r="D20" s="22"/>
      <c r="E20" s="22"/>
      <c r="F20" s="22"/>
      <c r="G20" s="22"/>
      <c r="H20" s="42" t="e">
        <f>VLOOKUP(Table1[[#This Row],[ایندکس]],$Y$2:$Z$12,2,0)</f>
        <v>#N/A</v>
      </c>
      <c r="I20" s="42" t="e">
        <f t="shared" si="0"/>
        <v>#N/A</v>
      </c>
      <c r="J20" s="42" t="e">
        <f>VLOOKUP(Table1[[#This Row],[نوع مقاله ]],$AA$2:$AB$11,2,0)</f>
        <v>#N/A</v>
      </c>
      <c r="K20" s="42" t="e">
        <f xml:space="preserve"> VLOOKUP(Table1[[#This Row],[تعداد نویسندگان]],$AE$2:$AF$22,2,0)</f>
        <v>#N/A</v>
      </c>
      <c r="L20" s="42" t="e">
        <f>VLOOKUP(Table1[[#This Row],[تعداد نویسندگان]],$AK$2:$AL$21,2,0)</f>
        <v>#N/A</v>
      </c>
      <c r="M20" s="42" t="e">
        <f>IF(Table1[[#This Row],[نوع مشارکت ]]="سایر",Table1[[#This Row],[ضریب نویسنده همکار]],Table1[[#This Row],[ضریب نویسنده مسسوول]])</f>
        <v>#N/A</v>
      </c>
      <c r="N20" s="42" t="e">
        <f>Table1[[#This Row],[امتیاز اولیه]]*Table1[[#This Row],[ضریب  نوع مقاله]]*M20</f>
        <v>#N/A</v>
      </c>
      <c r="O20" s="46" t="str">
        <f>IF(ISNUMBER(Table1[[#This Row],[ امتیاز کل]]),Table1[[#This Row],[ امتیاز کل]]," ")</f>
        <v xml:space="preserve"> </v>
      </c>
      <c r="P20" s="33"/>
      <c r="AE20" s="2">
        <v>19</v>
      </c>
      <c r="AF20" s="47">
        <f t="shared" si="2"/>
        <v>6.5789473684210523E-2</v>
      </c>
      <c r="AK20" s="2">
        <v>19</v>
      </c>
      <c r="AL20" s="2">
        <v>0.45</v>
      </c>
    </row>
    <row r="21" spans="1:38" ht="51.75" customHeight="1" x14ac:dyDescent="0.25">
      <c r="A21" s="31"/>
      <c r="B21" s="22"/>
      <c r="C21" s="22"/>
      <c r="D21" s="22"/>
      <c r="E21" s="22"/>
      <c r="F21" s="22"/>
      <c r="G21" s="22"/>
      <c r="H21" s="42" t="e">
        <f>VLOOKUP(Table1[[#This Row],[ایندکس]],$Y$2:$Z$12,2,0)</f>
        <v>#N/A</v>
      </c>
      <c r="I21" s="42" t="e">
        <f t="shared" si="0"/>
        <v>#N/A</v>
      </c>
      <c r="J21" s="42" t="e">
        <f>VLOOKUP(Table1[[#This Row],[نوع مقاله ]],$AA$2:$AB$11,2,0)</f>
        <v>#N/A</v>
      </c>
      <c r="K21" s="42" t="e">
        <f xml:space="preserve"> VLOOKUP(Table1[[#This Row],[تعداد نویسندگان]],$AE$2:$AF$22,2,0)</f>
        <v>#N/A</v>
      </c>
      <c r="L21" s="42" t="e">
        <f>VLOOKUP(Table1[[#This Row],[تعداد نویسندگان]],$AK$2:$AL$21,2,0)</f>
        <v>#N/A</v>
      </c>
      <c r="M21" s="42" t="e">
        <f>IF(Table1[[#This Row],[نوع مشارکت ]]="سایر",Table1[[#This Row],[ضریب نویسنده همکار]],Table1[[#This Row],[ضریب نویسنده مسسوول]])</f>
        <v>#N/A</v>
      </c>
      <c r="N21" s="42" t="e">
        <f>Table1[[#This Row],[امتیاز اولیه]]*Table1[[#This Row],[ضریب  نوع مقاله]]*M21</f>
        <v>#N/A</v>
      </c>
      <c r="O21" s="46" t="str">
        <f>IF(ISNUMBER(Table1[[#This Row],[ امتیاز کل]]),Table1[[#This Row],[ امتیاز کل]]," ")</f>
        <v xml:space="preserve"> </v>
      </c>
      <c r="P21" s="33"/>
      <c r="AE21" s="2">
        <v>20</v>
      </c>
      <c r="AF21" s="47">
        <f t="shared" si="2"/>
        <v>6.25E-2</v>
      </c>
      <c r="AK21" s="2">
        <v>20</v>
      </c>
      <c r="AL21" s="2">
        <v>0.45</v>
      </c>
    </row>
    <row r="22" spans="1:38" ht="51.75" customHeight="1" x14ac:dyDescent="0.25">
      <c r="A22" s="31"/>
      <c r="B22" s="22"/>
      <c r="C22" s="22"/>
      <c r="D22" s="22"/>
      <c r="E22" s="22"/>
      <c r="F22" s="22"/>
      <c r="G22" s="22"/>
      <c r="H22" s="42" t="e">
        <f>VLOOKUP(Table1[[#This Row],[ایندکس]],$Y$2:$Z$12,2,0)</f>
        <v>#N/A</v>
      </c>
      <c r="I22" s="42" t="e">
        <f t="shared" si="0"/>
        <v>#N/A</v>
      </c>
      <c r="J22" s="42" t="e">
        <f>VLOOKUP(Table1[[#This Row],[نوع مقاله ]],$AA$2:$AB$11,2,0)</f>
        <v>#N/A</v>
      </c>
      <c r="K22" s="42" t="e">
        <f xml:space="preserve"> VLOOKUP(Table1[[#This Row],[تعداد نویسندگان]],$AE$2:$AF$22,2,0)</f>
        <v>#N/A</v>
      </c>
      <c r="L22" s="42" t="e">
        <f>VLOOKUP(Table1[[#This Row],[تعداد نویسندگان]],$AK$2:$AL$21,2,0)</f>
        <v>#N/A</v>
      </c>
      <c r="M22" s="42" t="e">
        <f>IF(Table1[[#This Row],[نوع مشارکت ]]="سایر",Table1[[#This Row],[ضریب نویسنده همکار]],Table1[[#This Row],[ضریب نویسنده مسسوول]])</f>
        <v>#N/A</v>
      </c>
      <c r="N22" s="42" t="e">
        <f>Table1[[#This Row],[امتیاز اولیه]]*Table1[[#This Row],[ضریب  نوع مقاله]]*M22</f>
        <v>#N/A</v>
      </c>
      <c r="O22" s="46" t="str">
        <f>IF(ISNUMBER(Table1[[#This Row],[ امتیاز کل]]),Table1[[#This Row],[ امتیاز کل]]," ")</f>
        <v xml:space="preserve"> </v>
      </c>
      <c r="P22" s="33"/>
    </row>
    <row r="23" spans="1:38" ht="51.75" customHeight="1" x14ac:dyDescent="0.25">
      <c r="A23" s="31"/>
      <c r="B23" s="22"/>
      <c r="C23" s="22"/>
      <c r="D23" s="22"/>
      <c r="E23" s="22"/>
      <c r="F23" s="22"/>
      <c r="G23" s="22"/>
      <c r="H23" s="42" t="e">
        <f>VLOOKUP(Table1[[#This Row],[ایندکس]],$Y$2:$Z$12,2,0)</f>
        <v>#N/A</v>
      </c>
      <c r="I23" s="42" t="e">
        <f t="shared" si="0"/>
        <v>#N/A</v>
      </c>
      <c r="J23" s="42" t="e">
        <f>VLOOKUP(Table1[[#This Row],[نوع مقاله ]],$AA$2:$AB$11,2,0)</f>
        <v>#N/A</v>
      </c>
      <c r="K23" s="42" t="e">
        <f xml:space="preserve"> VLOOKUP(Table1[[#This Row],[تعداد نویسندگان]],$AE$2:$AF$22,2,0)</f>
        <v>#N/A</v>
      </c>
      <c r="L23" s="42" t="e">
        <f>VLOOKUP(Table1[[#This Row],[تعداد نویسندگان]],$AK$2:$AL$21,2,0)</f>
        <v>#N/A</v>
      </c>
      <c r="M23" s="42" t="e">
        <f>IF(Table1[[#This Row],[نوع مشارکت ]]="سایر",Table1[[#This Row],[ضریب نویسنده همکار]],Table1[[#This Row],[ضریب نویسنده مسسوول]])</f>
        <v>#N/A</v>
      </c>
      <c r="N23" s="42" t="e">
        <f>Table1[[#This Row],[امتیاز اولیه]]*Table1[[#This Row],[ضریب  نوع مقاله]]*M23</f>
        <v>#N/A</v>
      </c>
      <c r="O23" s="46" t="str">
        <f>IF(ISNUMBER(Table1[[#This Row],[ امتیاز کل]]),Table1[[#This Row],[ امتیاز کل]]," ")</f>
        <v xml:space="preserve"> </v>
      </c>
      <c r="P23" s="33"/>
    </row>
    <row r="24" spans="1:38" ht="51.75" customHeight="1" x14ac:dyDescent="0.25">
      <c r="A24" s="31"/>
      <c r="B24" s="22"/>
      <c r="C24" s="22"/>
      <c r="D24" s="22"/>
      <c r="E24" s="22"/>
      <c r="F24" s="22"/>
      <c r="G24" s="22"/>
      <c r="H24" s="42" t="e">
        <f>VLOOKUP(Table1[[#This Row],[ایندکس]],$Y$2:$Z$12,2,0)</f>
        <v>#N/A</v>
      </c>
      <c r="I24" s="42" t="e">
        <f t="shared" si="0"/>
        <v>#N/A</v>
      </c>
      <c r="J24" s="42" t="e">
        <f>VLOOKUP(Table1[[#This Row],[نوع مقاله ]],$AA$2:$AB$11,2,0)</f>
        <v>#N/A</v>
      </c>
      <c r="K24" s="42" t="e">
        <f xml:space="preserve"> VLOOKUP(Table1[[#This Row],[تعداد نویسندگان]],$AE$2:$AF$22,2,0)</f>
        <v>#N/A</v>
      </c>
      <c r="L24" s="42" t="e">
        <f>VLOOKUP(Table1[[#This Row],[تعداد نویسندگان]],$AK$2:$AL$21,2,0)</f>
        <v>#N/A</v>
      </c>
      <c r="M24" s="42" t="e">
        <f>IF(Table1[[#This Row],[نوع مشارکت ]]="سایر",Table1[[#This Row],[ضریب نویسنده همکار]],Table1[[#This Row],[ضریب نویسنده مسسوول]])</f>
        <v>#N/A</v>
      </c>
      <c r="N24" s="42" t="e">
        <f>Table1[[#This Row],[امتیاز اولیه]]*Table1[[#This Row],[ضریب  نوع مقاله]]*M24</f>
        <v>#N/A</v>
      </c>
      <c r="O24" s="46" t="str">
        <f>IF(ISNUMBER(Table1[[#This Row],[ امتیاز کل]]),Table1[[#This Row],[ امتیاز کل]]," ")</f>
        <v xml:space="preserve"> </v>
      </c>
      <c r="P24" s="33"/>
    </row>
    <row r="25" spans="1:38" ht="51.75" customHeight="1" x14ac:dyDescent="0.25">
      <c r="A25" s="31"/>
      <c r="B25" s="22"/>
      <c r="C25" s="22"/>
      <c r="D25" s="22"/>
      <c r="E25" s="22"/>
      <c r="F25" s="22"/>
      <c r="G25" s="22"/>
      <c r="H25" s="42" t="e">
        <f>VLOOKUP(Table1[[#This Row],[ایندکس]],$Y$2:$Z$12,2,0)</f>
        <v>#N/A</v>
      </c>
      <c r="I25" s="42" t="e">
        <f t="shared" si="0"/>
        <v>#N/A</v>
      </c>
      <c r="J25" s="42" t="e">
        <f>VLOOKUP(Table1[[#This Row],[نوع مقاله ]],$AA$2:$AB$11,2,0)</f>
        <v>#N/A</v>
      </c>
      <c r="K25" s="42" t="e">
        <f xml:space="preserve"> VLOOKUP(Table1[[#This Row],[تعداد نویسندگان]],$AE$2:$AF$22,2,0)</f>
        <v>#N/A</v>
      </c>
      <c r="L25" s="42" t="e">
        <f>VLOOKUP(Table1[[#This Row],[تعداد نویسندگان]],$AK$2:$AL$21,2,0)</f>
        <v>#N/A</v>
      </c>
      <c r="M25" s="42" t="e">
        <f>IF(Table1[[#This Row],[نوع مشارکت ]]="سایر",Table1[[#This Row],[ضریب نویسنده همکار]],Table1[[#This Row],[ضریب نویسنده مسسوول]])</f>
        <v>#N/A</v>
      </c>
      <c r="N25" s="42" t="e">
        <f>Table1[[#This Row],[امتیاز اولیه]]*Table1[[#This Row],[ضریب  نوع مقاله]]*M25</f>
        <v>#N/A</v>
      </c>
      <c r="O25" s="46" t="str">
        <f>IF(ISNUMBER(Table1[[#This Row],[ امتیاز کل]]),Table1[[#This Row],[ امتیاز کل]]," ")</f>
        <v xml:space="preserve"> </v>
      </c>
      <c r="P25" s="33"/>
    </row>
    <row r="26" spans="1:38" ht="51.75" customHeight="1" x14ac:dyDescent="0.25">
      <c r="A26" s="31"/>
      <c r="B26" s="22"/>
      <c r="C26" s="22"/>
      <c r="D26" s="22"/>
      <c r="E26" s="22"/>
      <c r="F26" s="22"/>
      <c r="G26" s="22"/>
      <c r="H26" s="42" t="e">
        <f>VLOOKUP(Table1[[#This Row],[ایندکس]],$Y$2:$Z$12,2,0)</f>
        <v>#N/A</v>
      </c>
      <c r="I26" s="42" t="e">
        <f t="shared" si="0"/>
        <v>#N/A</v>
      </c>
      <c r="J26" s="42" t="e">
        <f>VLOOKUP(Table1[[#This Row],[نوع مقاله ]],$AA$2:$AB$11,2,0)</f>
        <v>#N/A</v>
      </c>
      <c r="K26" s="42" t="e">
        <f xml:space="preserve"> VLOOKUP(Table1[[#This Row],[تعداد نویسندگان]],$AE$2:$AF$22,2,0)</f>
        <v>#N/A</v>
      </c>
      <c r="L26" s="42" t="e">
        <f>VLOOKUP(Table1[[#This Row],[تعداد نویسندگان]],$AK$2:$AL$21,2,0)</f>
        <v>#N/A</v>
      </c>
      <c r="M26" s="42" t="e">
        <f>IF(Table1[[#This Row],[نوع مشارکت ]]="سایر",Table1[[#This Row],[ضریب نویسنده همکار]],Table1[[#This Row],[ضریب نویسنده مسسوول]])</f>
        <v>#N/A</v>
      </c>
      <c r="N26" s="42" t="e">
        <f>Table1[[#This Row],[امتیاز اولیه]]*Table1[[#This Row],[ضریب  نوع مقاله]]*M26</f>
        <v>#N/A</v>
      </c>
      <c r="O26" s="46" t="str">
        <f>IF(ISNUMBER(Table1[[#This Row],[ امتیاز کل]]),Table1[[#This Row],[ امتیاز کل]]," ")</f>
        <v xml:space="preserve"> </v>
      </c>
      <c r="P26" s="33"/>
    </row>
    <row r="27" spans="1:38" ht="51.75" customHeight="1" x14ac:dyDescent="0.25">
      <c r="A27" s="34"/>
      <c r="B27" s="35" t="s">
        <v>70</v>
      </c>
      <c r="C27" s="35"/>
      <c r="D27" s="35"/>
      <c r="E27" s="35"/>
      <c r="F27" s="35"/>
      <c r="G27" s="35"/>
      <c r="H27" s="48" t="e">
        <f>VLOOKUP(Table1[[#This Row],[ایندکس]],Y27:Z34,2,0)</f>
        <v>#N/A</v>
      </c>
      <c r="I27" s="49" t="e">
        <f t="shared" ref="I27" si="3">H27</f>
        <v>#N/A</v>
      </c>
      <c r="J27" s="48" t="e">
        <f>VLOOKUP(Table1[[#This Row],[نوع مقاله ]],AA27:AB34,2,0)</f>
        <v>#N/A</v>
      </c>
      <c r="K27" s="48" t="e">
        <f xml:space="preserve"> VLOOKUP(Table1[[#This Row],[تعداد نویسندگان]],$AE$2:$AF$22,2,0)</f>
        <v>#N/A</v>
      </c>
      <c r="L27" s="48" t="e">
        <f>VLOOKUP(Table1[[#This Row],[تعداد نویسندگان]],$AK$2:$AL$21,2,0)</f>
        <v>#N/A</v>
      </c>
      <c r="M27" s="48" t="e">
        <f>IF(Table1[[#This Row],[نوع مشارکت ]]="سایر",Table1[[#This Row],[ضریب نویسنده همکار]],Table1[[#This Row],[ضریب نویسنده مسسوول]])</f>
        <v>#N/A</v>
      </c>
      <c r="N27" s="49" t="e">
        <f>Table1[[#This Row],[امتیاز اولیه]]*Table1[[#This Row],[ضریب  نوع مقاله]]*M27*#REF!</f>
        <v>#N/A</v>
      </c>
      <c r="O27" s="48">
        <f>SUM(O2:O26)</f>
        <v>0</v>
      </c>
      <c r="P27" s="36"/>
    </row>
  </sheetData>
  <sheetProtection algorithmName="SHA-512" hashValue="rpknGtw2DlgYHVandDTuL6vTlz5yA80S9kw29YUqXsiCjQsuEOeiTZ5XFPejvQlDkozLl0KBoC/KojhZUpWFPw==" saltValue="dNch8GgNViU65ww4mOtdoQ==" spinCount="100000" sheet="1" scenarios="1"/>
  <dataValidations count="3">
    <dataValidation type="list" allowBlank="1" showInputMessage="1" showErrorMessage="1" sqref="E2:E27">
      <formula1>$AA$2:$AA$11</formula1>
    </dataValidation>
    <dataValidation type="list" allowBlank="1" showInputMessage="1" showErrorMessage="1" sqref="F2:F27">
      <formula1>$AD$2:$AD$3</formula1>
    </dataValidation>
    <dataValidation type="list" allowBlank="1" showInputMessage="1" showErrorMessage="1" sqref="D1:D27">
      <formula1>$Y$2:$Y$12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"/>
  <sheetViews>
    <sheetView topLeftCell="E1" workbookViewId="0">
      <selection activeCell="H2" sqref="H2:M12 AE8:AE21"/>
    </sheetView>
  </sheetViews>
  <sheetFormatPr defaultRowHeight="57" customHeight="1" x14ac:dyDescent="0.25"/>
  <cols>
    <col min="1" max="1" width="9.140625" style="2"/>
    <col min="2" max="2" width="60" style="2" customWidth="1"/>
    <col min="3" max="6" width="16.140625" style="2" customWidth="1"/>
    <col min="7" max="7" width="23.5703125" style="2" customWidth="1"/>
    <col min="8" max="9" width="9.7109375" style="2" hidden="1" customWidth="1"/>
    <col min="10" max="10" width="15.28515625" style="2" hidden="1" customWidth="1"/>
    <col min="11" max="12" width="11.85546875" style="2" hidden="1" customWidth="1"/>
    <col min="13" max="13" width="14.7109375" style="2" customWidth="1"/>
    <col min="14" max="14" width="34.28515625" style="2" customWidth="1"/>
    <col min="15" max="22" width="9.140625" style="2"/>
    <col min="23" max="23" width="5.42578125" style="2" customWidth="1"/>
    <col min="24" max="24" width="9" style="2" customWidth="1"/>
    <col min="25" max="25" width="35.5703125" style="2" hidden="1" customWidth="1"/>
    <col min="26" max="26" width="9" style="2" hidden="1" customWidth="1"/>
    <col min="27" max="40" width="0" style="2" hidden="1" customWidth="1"/>
    <col min="41" max="16384" width="9.140625" style="2"/>
  </cols>
  <sheetData>
    <row r="1" spans="1:37" ht="57" customHeight="1" thickBot="1" x14ac:dyDescent="0.3">
      <c r="A1" s="5" t="s">
        <v>5</v>
      </c>
      <c r="B1" s="5" t="s">
        <v>52</v>
      </c>
      <c r="C1" s="5" t="s">
        <v>53</v>
      </c>
      <c r="D1" s="5" t="s">
        <v>54</v>
      </c>
      <c r="E1" s="5" t="s">
        <v>130</v>
      </c>
      <c r="F1" s="5" t="s">
        <v>131</v>
      </c>
      <c r="G1" s="5" t="s">
        <v>49</v>
      </c>
      <c r="H1" s="5" t="s">
        <v>133</v>
      </c>
      <c r="I1" s="1" t="s">
        <v>134</v>
      </c>
      <c r="J1" s="5" t="s">
        <v>135</v>
      </c>
      <c r="K1" s="1" t="s">
        <v>136</v>
      </c>
      <c r="L1" s="1" t="s">
        <v>35</v>
      </c>
      <c r="M1" s="5" t="s">
        <v>40</v>
      </c>
      <c r="N1" s="5" t="s">
        <v>51</v>
      </c>
      <c r="Y1" s="50" t="s">
        <v>47</v>
      </c>
      <c r="Z1" s="51" t="s">
        <v>48</v>
      </c>
      <c r="AC1" s="2" t="s">
        <v>28</v>
      </c>
      <c r="AD1" s="2" t="s">
        <v>29</v>
      </c>
      <c r="AE1" s="2" t="s">
        <v>13</v>
      </c>
      <c r="AF1" s="2" t="s">
        <v>36</v>
      </c>
      <c r="AG1" s="2" t="s">
        <v>75</v>
      </c>
      <c r="AJ1" s="2" t="s">
        <v>29</v>
      </c>
      <c r="AK1" s="2" t="s">
        <v>13</v>
      </c>
    </row>
    <row r="2" spans="1:37" ht="57" customHeight="1" thickBot="1" x14ac:dyDescent="0.35">
      <c r="A2" s="22">
        <v>1</v>
      </c>
      <c r="B2" s="22"/>
      <c r="C2" s="26"/>
      <c r="D2" s="22"/>
      <c r="E2" s="22"/>
      <c r="F2" s="22"/>
      <c r="G2" s="22"/>
      <c r="H2" s="42" t="e">
        <f>VLOOKUP(Table3[[#This Row],[ نوع ارائه ]],$Y$2:$Z$6,2,0)</f>
        <v>#N/A</v>
      </c>
      <c r="I2" s="42" t="e">
        <f>VLOOKUP(Table3[[#This Row],[تعداد نویسندگان ]],$AJ$2:$AK$21,2,0)</f>
        <v>#N/A</v>
      </c>
      <c r="J2" s="42" t="e">
        <f>VLOOKUP(Table3[[#This Row],[تعداد نویسندگان ]],$AD$2:$AE$21,2,0)</f>
        <v>#N/A</v>
      </c>
      <c r="K2" s="42" t="e">
        <f>IF(Table3[[#This Row],[نقش پژوهشگر]]="سایر",Table3[[#This Row],[ضریب همکار ]],Table3[[#This Row],[ضریب ارائه دهنده یا نویسنده اول ]])</f>
        <v>#N/A</v>
      </c>
      <c r="L2" s="42" t="e">
        <f>Table3[[#This Row],[ضریب نهایی نویسنده]]*Table3[[#This Row],[امتیاز پایه ]]</f>
        <v>#N/A</v>
      </c>
      <c r="M2" s="42" t="str">
        <f>IF(ISNUMBER(Table3[[#This Row],[امتیاز اولیه]]),Table3[[#This Row],[امتیاز اولیه]]," ")</f>
        <v xml:space="preserve"> </v>
      </c>
      <c r="N2" s="22"/>
      <c r="Y2" s="52" t="s">
        <v>125</v>
      </c>
      <c r="Z2" s="53">
        <v>0.5</v>
      </c>
      <c r="AC2" s="2" t="s">
        <v>132</v>
      </c>
      <c r="AD2" s="2">
        <v>1</v>
      </c>
      <c r="AE2" s="2">
        <v>0</v>
      </c>
      <c r="AG2" s="2" t="s">
        <v>37</v>
      </c>
      <c r="AJ2" s="2">
        <v>1</v>
      </c>
      <c r="AK2" s="2">
        <v>0.9</v>
      </c>
    </row>
    <row r="3" spans="1:37" ht="57" customHeight="1" thickBot="1" x14ac:dyDescent="0.35">
      <c r="A3" s="22"/>
      <c r="B3" s="22"/>
      <c r="C3" s="26"/>
      <c r="D3" s="22"/>
      <c r="E3" s="22"/>
      <c r="F3" s="22"/>
      <c r="G3" s="22"/>
      <c r="H3" s="42" t="e">
        <f>VLOOKUP(Table3[[#This Row],[ نوع ارائه ]],$Y$2:$Z$6,2,0)</f>
        <v>#N/A</v>
      </c>
      <c r="I3" s="42" t="e">
        <f>VLOOKUP(Table3[[#This Row],[تعداد نویسندگان ]],$AJ$2:$AK$21,2,0)</f>
        <v>#N/A</v>
      </c>
      <c r="J3" s="42" t="e">
        <f>VLOOKUP(Table3[[#This Row],[تعداد نویسندگان ]],$AD$2:$AE$21,2,0)</f>
        <v>#N/A</v>
      </c>
      <c r="K3" s="42" t="e">
        <f>IF(Table3[[#This Row],[نقش پژوهشگر]]="سایر",Table3[[#This Row],[ضریب همکار ]],Table3[[#This Row],[ضریب ارائه دهنده یا نویسنده اول ]])</f>
        <v>#N/A</v>
      </c>
      <c r="L3" s="42" t="e">
        <f>Table3[[#This Row],[ضریب نهایی نویسنده]]*Table3[[#This Row],[امتیاز پایه ]]</f>
        <v>#N/A</v>
      </c>
      <c r="M3" s="42" t="str">
        <f>IF(ISNUMBER(Table3[[#This Row],[امتیاز اولیه]]),Table3[[#This Row],[امتیاز اولیه]]," ")</f>
        <v xml:space="preserve"> </v>
      </c>
      <c r="N3" s="22"/>
      <c r="Y3" s="52" t="s">
        <v>126</v>
      </c>
      <c r="Z3" s="53">
        <v>1</v>
      </c>
      <c r="AC3" s="2" t="s">
        <v>31</v>
      </c>
      <c r="AD3" s="2">
        <v>2</v>
      </c>
      <c r="AE3" s="2">
        <v>0.6</v>
      </c>
      <c r="AG3" s="2" t="s">
        <v>38</v>
      </c>
      <c r="AJ3" s="2">
        <v>2</v>
      </c>
      <c r="AK3" s="2">
        <v>0.8</v>
      </c>
    </row>
    <row r="4" spans="1:37" ht="57" customHeight="1" thickBot="1" x14ac:dyDescent="0.35">
      <c r="A4" s="22">
        <v>2</v>
      </c>
      <c r="B4" s="22"/>
      <c r="C4" s="26"/>
      <c r="D4" s="22"/>
      <c r="E4" s="22"/>
      <c r="F4" s="22"/>
      <c r="G4" s="22"/>
      <c r="H4" s="42" t="e">
        <f>VLOOKUP(Table3[[#This Row],[ نوع ارائه ]],$Y$2:$Z$6,2,0)</f>
        <v>#N/A</v>
      </c>
      <c r="I4" s="42" t="e">
        <f>VLOOKUP(Table3[[#This Row],[تعداد نویسندگان ]],$AJ$2:$AK$21,2,0)</f>
        <v>#N/A</v>
      </c>
      <c r="J4" s="42" t="e">
        <f>VLOOKUP(Table3[[#This Row],[تعداد نویسندگان ]],$AD$2:$AE$21,2,0)</f>
        <v>#N/A</v>
      </c>
      <c r="K4" s="42" t="e">
        <f>IF(Table3[[#This Row],[نقش پژوهشگر]]="سایر",Table3[[#This Row],[ضریب همکار ]],Table3[[#This Row],[ضریب ارائه دهنده یا نویسنده اول ]])</f>
        <v>#N/A</v>
      </c>
      <c r="L4" s="42" t="e">
        <f>Table3[[#This Row],[ضریب نهایی نویسنده]]*Table3[[#This Row],[امتیاز پایه ]]</f>
        <v>#N/A</v>
      </c>
      <c r="M4" s="42" t="str">
        <f>IF(ISNUMBER(Table3[[#This Row],[امتیاز اولیه]]),Table3[[#This Row],[امتیاز اولیه]]," ")</f>
        <v xml:space="preserve"> </v>
      </c>
      <c r="N4" s="22"/>
      <c r="Y4" s="52" t="s">
        <v>127</v>
      </c>
      <c r="Z4" s="53">
        <v>0.5</v>
      </c>
      <c r="AD4" s="2">
        <v>3</v>
      </c>
      <c r="AE4" s="2">
        <v>0.5</v>
      </c>
      <c r="AG4" s="2" t="s">
        <v>39</v>
      </c>
      <c r="AJ4" s="2">
        <v>3</v>
      </c>
      <c r="AK4" s="2">
        <v>0.7</v>
      </c>
    </row>
    <row r="5" spans="1:37" ht="57" customHeight="1" thickBot="1" x14ac:dyDescent="0.35">
      <c r="A5" s="22"/>
      <c r="B5" s="22"/>
      <c r="C5" s="26"/>
      <c r="D5" s="22"/>
      <c r="E5" s="22"/>
      <c r="F5" s="22"/>
      <c r="G5" s="22"/>
      <c r="H5" s="42" t="e">
        <f>VLOOKUP(Table3[[#This Row],[ نوع ارائه ]],$Y$2:$Z$6,2,0)</f>
        <v>#N/A</v>
      </c>
      <c r="I5" s="42" t="e">
        <f>VLOOKUP(Table3[[#This Row],[تعداد نویسندگان ]],$AJ$2:$AK$21,2,0)</f>
        <v>#N/A</v>
      </c>
      <c r="J5" s="42" t="e">
        <f>VLOOKUP(Table3[[#This Row],[تعداد نویسندگان ]],$AD$2:$AE$21,2,0)</f>
        <v>#N/A</v>
      </c>
      <c r="K5" s="42" t="e">
        <f>IF(Table3[[#This Row],[نقش پژوهشگر]]="سایر",Table3[[#This Row],[ضریب همکار ]],Table3[[#This Row],[ضریب ارائه دهنده یا نویسنده اول ]])</f>
        <v>#N/A</v>
      </c>
      <c r="L5" s="42" t="e">
        <f>Table3[[#This Row],[ضریب نهایی نویسنده]]*Table3[[#This Row],[امتیاز پایه ]]</f>
        <v>#N/A</v>
      </c>
      <c r="M5" s="42" t="str">
        <f>IF(ISNUMBER(Table3[[#This Row],[امتیاز اولیه]]),Table3[[#This Row],[امتیاز اولیه]]," ")</f>
        <v xml:space="preserve"> </v>
      </c>
      <c r="N5" s="22"/>
      <c r="Y5" s="52" t="s">
        <v>128</v>
      </c>
      <c r="Z5" s="53">
        <v>0.25</v>
      </c>
      <c r="AD5" s="2">
        <v>4</v>
      </c>
      <c r="AE5" s="2">
        <v>0.4</v>
      </c>
      <c r="AJ5" s="2">
        <v>4</v>
      </c>
      <c r="AK5" s="2">
        <v>0.6</v>
      </c>
    </row>
    <row r="6" spans="1:37" ht="57" customHeight="1" thickBot="1" x14ac:dyDescent="0.35">
      <c r="A6" s="22">
        <v>3</v>
      </c>
      <c r="B6" s="22"/>
      <c r="C6" s="26"/>
      <c r="D6" s="22"/>
      <c r="E6" s="22"/>
      <c r="F6" s="22"/>
      <c r="G6" s="22"/>
      <c r="H6" s="42" t="e">
        <f>VLOOKUP(Table3[[#This Row],[ نوع ارائه ]],$Y$2:$Z$6,2,0)</f>
        <v>#N/A</v>
      </c>
      <c r="I6" s="42" t="e">
        <f>VLOOKUP(Table3[[#This Row],[تعداد نویسندگان ]],$AJ$2:$AK$21,2,0)</f>
        <v>#N/A</v>
      </c>
      <c r="J6" s="42" t="e">
        <f>VLOOKUP(Table3[[#This Row],[تعداد نویسندگان ]],$AD$2:$AE$21,2,0)</f>
        <v>#N/A</v>
      </c>
      <c r="K6" s="42" t="e">
        <f>IF(Table3[[#This Row],[نقش پژوهشگر]]="سایر",Table3[[#This Row],[ضریب همکار ]],Table3[[#This Row],[ضریب ارائه دهنده یا نویسنده اول ]])</f>
        <v>#N/A</v>
      </c>
      <c r="L6" s="42" t="e">
        <f>Table3[[#This Row],[ضریب نهایی نویسنده]]*Table3[[#This Row],[امتیاز پایه ]]</f>
        <v>#N/A</v>
      </c>
      <c r="M6" s="42" t="str">
        <f>IF(ISNUMBER(Table3[[#This Row],[امتیاز اولیه]]),Table3[[#This Row],[امتیاز اولیه]]," ")</f>
        <v xml:space="preserve"> </v>
      </c>
      <c r="N6" s="22"/>
      <c r="Y6" s="52" t="s">
        <v>129</v>
      </c>
      <c r="Z6" s="53">
        <v>0.5</v>
      </c>
      <c r="AD6" s="2">
        <v>5</v>
      </c>
      <c r="AE6" s="2">
        <v>0.3</v>
      </c>
      <c r="AJ6" s="2">
        <v>5</v>
      </c>
      <c r="AK6" s="2">
        <v>0.55000000000000004</v>
      </c>
    </row>
    <row r="7" spans="1:37" ht="57" customHeight="1" thickBot="1" x14ac:dyDescent="0.35">
      <c r="A7" s="22"/>
      <c r="B7" s="22"/>
      <c r="C7" s="26"/>
      <c r="D7" s="23"/>
      <c r="E7" s="22"/>
      <c r="F7" s="22"/>
      <c r="G7" s="22"/>
      <c r="H7" s="42" t="e">
        <f>VLOOKUP(Table3[[#This Row],[ نوع ارائه ]],$Y$2:$Z$6,2,0)</f>
        <v>#N/A</v>
      </c>
      <c r="I7" s="42" t="e">
        <f>VLOOKUP(Table3[[#This Row],[تعداد نویسندگان ]],$AJ$2:$AK$21,2,0)</f>
        <v>#N/A</v>
      </c>
      <c r="J7" s="42" t="e">
        <f>VLOOKUP(Table3[[#This Row],[تعداد نویسندگان ]],$AD$2:$AE$21,2,0)</f>
        <v>#N/A</v>
      </c>
      <c r="K7" s="42" t="e">
        <f>IF(Table3[[#This Row],[نقش پژوهشگر]]="سایر",Table3[[#This Row],[ضریب همکار ]],Table3[[#This Row],[ضریب ارائه دهنده یا نویسنده اول ]])</f>
        <v>#N/A</v>
      </c>
      <c r="L7" s="42" t="e">
        <f>Table3[[#This Row],[ضریب نهایی نویسنده]]*Table3[[#This Row],[امتیاز پایه ]]</f>
        <v>#N/A</v>
      </c>
      <c r="M7" s="42" t="str">
        <f>IF(ISNUMBER(Table3[[#This Row],[امتیاز اولیه]]),Table3[[#This Row],[امتیاز اولیه]]," ")</f>
        <v xml:space="preserve"> </v>
      </c>
      <c r="N7" s="22"/>
      <c r="Y7" s="52"/>
      <c r="Z7" s="53"/>
      <c r="AD7" s="2">
        <v>6</v>
      </c>
      <c r="AE7" s="2">
        <v>0.25</v>
      </c>
      <c r="AJ7" s="2">
        <v>6</v>
      </c>
      <c r="AK7" s="2">
        <v>0.45</v>
      </c>
    </row>
    <row r="8" spans="1:37" ht="57" customHeight="1" thickBot="1" x14ac:dyDescent="0.3">
      <c r="A8" s="22">
        <v>4</v>
      </c>
      <c r="B8" s="22"/>
      <c r="C8" s="23"/>
      <c r="D8" s="22"/>
      <c r="E8" s="22"/>
      <c r="F8" s="22"/>
      <c r="G8" s="22"/>
      <c r="H8" s="42" t="e">
        <f>VLOOKUP(Table3[[#This Row],[ نوع ارائه ]],$Y$2:$Z$6,2,0)</f>
        <v>#N/A</v>
      </c>
      <c r="I8" s="42" t="e">
        <f>VLOOKUP(Table3[[#This Row],[تعداد نویسندگان ]],$AJ$2:$AK$21,2,0)</f>
        <v>#N/A</v>
      </c>
      <c r="J8" s="42" t="e">
        <f>VLOOKUP(Table3[[#This Row],[تعداد نویسندگان ]],$AD$2:$AE$21,2,0)</f>
        <v>#N/A</v>
      </c>
      <c r="K8" s="42" t="e">
        <f>IF(Table3[[#This Row],[نقش پژوهشگر]]="سایر",Table3[[#This Row],[ضریب همکار ]],Table3[[#This Row],[ضریب ارائه دهنده یا نویسنده اول ]])</f>
        <v>#N/A</v>
      </c>
      <c r="L8" s="42" t="e">
        <f>Table3[[#This Row],[ضریب نهایی نویسنده]]*Table3[[#This Row],[امتیاز پایه ]]</f>
        <v>#N/A</v>
      </c>
      <c r="M8" s="42" t="str">
        <f>IF(ISNUMBER(Table3[[#This Row],[امتیاز اولیه]]),Table3[[#This Row],[امتیاز اولیه]]," ")</f>
        <v xml:space="preserve"> </v>
      </c>
      <c r="N8" s="22"/>
      <c r="Y8" s="52"/>
      <c r="Z8" s="53"/>
      <c r="AD8" s="2">
        <v>7</v>
      </c>
      <c r="AE8" s="47">
        <f>1.25/AD8</f>
        <v>0.17857142857142858</v>
      </c>
      <c r="AJ8" s="2">
        <v>7</v>
      </c>
      <c r="AK8" s="2">
        <v>0.45</v>
      </c>
    </row>
    <row r="9" spans="1:37" ht="57" customHeight="1" x14ac:dyDescent="0.25">
      <c r="A9" s="22">
        <v>5</v>
      </c>
      <c r="B9" s="22"/>
      <c r="C9" s="22"/>
      <c r="D9" s="22"/>
      <c r="E9" s="22"/>
      <c r="F9" s="22"/>
      <c r="G9" s="22"/>
      <c r="H9" s="42" t="e">
        <f>VLOOKUP(Table3[[#This Row],[ نوع ارائه ]],$Y$2:$Z$6,2,0)</f>
        <v>#N/A</v>
      </c>
      <c r="I9" s="42" t="e">
        <f>VLOOKUP(Table3[[#This Row],[تعداد نویسندگان ]],$AJ$2:$AK$21,2,0)</f>
        <v>#N/A</v>
      </c>
      <c r="J9" s="42" t="e">
        <f>VLOOKUP(Table3[[#This Row],[تعداد نویسندگان ]],$AD$2:$AE$21,2,0)</f>
        <v>#N/A</v>
      </c>
      <c r="K9" s="42" t="e">
        <f>IF(Table3[[#This Row],[نقش پژوهشگر]]="سایر",Table3[[#This Row],[ضریب همکار ]],Table3[[#This Row],[ضریب ارائه دهنده یا نویسنده اول ]])</f>
        <v>#N/A</v>
      </c>
      <c r="L9" s="42" t="e">
        <f>Table3[[#This Row],[ضریب نهایی نویسنده]]*Table3[[#This Row],[امتیاز پایه ]]</f>
        <v>#N/A</v>
      </c>
      <c r="M9" s="42" t="str">
        <f>IF(ISNUMBER(Table3[[#This Row],[امتیاز اولیه]]),Table3[[#This Row],[امتیاز اولیه]]," ")</f>
        <v xml:space="preserve"> </v>
      </c>
      <c r="N9" s="22"/>
      <c r="AD9" s="2">
        <v>8</v>
      </c>
      <c r="AE9" s="47">
        <f t="shared" ref="AE9:AE21" si="0">1.25/AD9</f>
        <v>0.15625</v>
      </c>
      <c r="AJ9" s="2">
        <v>8</v>
      </c>
      <c r="AK9" s="2">
        <v>0.45</v>
      </c>
    </row>
    <row r="10" spans="1:37" ht="57" customHeight="1" x14ac:dyDescent="0.25">
      <c r="A10" s="22"/>
      <c r="B10" s="22"/>
      <c r="C10" s="22"/>
      <c r="D10" s="22"/>
      <c r="E10" s="22"/>
      <c r="F10" s="22"/>
      <c r="G10" s="22"/>
      <c r="H10" s="42" t="e">
        <f>VLOOKUP(Table3[[#This Row],[ نوع ارائه ]],$Y$2:$Z$6,2,0)</f>
        <v>#N/A</v>
      </c>
      <c r="I10" s="42" t="e">
        <f>VLOOKUP(Table3[[#This Row],[تعداد نویسندگان ]],$AJ$2:$AK$21,2,0)</f>
        <v>#N/A</v>
      </c>
      <c r="J10" s="42" t="e">
        <f>VLOOKUP(Table3[[#This Row],[تعداد نویسندگان ]],$AD$2:$AE$21,2,0)</f>
        <v>#N/A</v>
      </c>
      <c r="K10" s="42" t="e">
        <f>IF(Table3[[#This Row],[نقش پژوهشگر]]="سایر",Table3[[#This Row],[ضریب همکار ]],Table3[[#This Row],[ضریب ارائه دهنده یا نویسنده اول ]])</f>
        <v>#N/A</v>
      </c>
      <c r="L10" s="42" t="e">
        <f>Table3[[#This Row],[ضریب نهایی نویسنده]]*Table3[[#This Row],[امتیاز پایه ]]</f>
        <v>#N/A</v>
      </c>
      <c r="M10" s="42" t="str">
        <f>IF(ISNUMBER(Table3[[#This Row],[امتیاز اولیه]]),Table3[[#This Row],[امتیاز اولیه]]," ")</f>
        <v xml:space="preserve"> </v>
      </c>
      <c r="N10" s="22"/>
      <c r="AD10" s="2">
        <v>9</v>
      </c>
      <c r="AE10" s="47">
        <f t="shared" si="0"/>
        <v>0.1388888888888889</v>
      </c>
      <c r="AJ10" s="2">
        <v>9</v>
      </c>
      <c r="AK10" s="2">
        <v>0.45</v>
      </c>
    </row>
    <row r="11" spans="1:37" ht="57" customHeight="1" x14ac:dyDescent="0.25">
      <c r="A11" s="22" t="s">
        <v>44</v>
      </c>
      <c r="B11" s="22"/>
      <c r="C11" s="22"/>
      <c r="D11" s="22"/>
      <c r="E11" s="22"/>
      <c r="F11" s="22"/>
      <c r="G11" s="22"/>
      <c r="H11" s="46" t="e">
        <f>VLOOKUP(Table3[[#This Row],[ نوع ارائه ]],$Y$2:$Z$6,2,0)</f>
        <v>#N/A</v>
      </c>
      <c r="I11" s="46" t="e">
        <f>VLOOKUP(Table3[[#This Row],[تعداد نویسندگان ]],$AJ$2:$AK$21,2,0)</f>
        <v>#N/A</v>
      </c>
      <c r="J11" s="46" t="e">
        <f>VLOOKUP(Table3[[#This Row],[تعداد نویسندگان ]],$AD$2:$AE$21,2,0)</f>
        <v>#N/A</v>
      </c>
      <c r="K11" s="46" t="e">
        <f>IF(Table3[[#This Row],[نقش پژوهشگر]]="سایر",Table3[[#This Row],[ضریب همکار ]],Table3[[#This Row],[ضریب ارائه دهنده یا نویسنده اول ]])</f>
        <v>#N/A</v>
      </c>
      <c r="L11" s="46" t="e">
        <f>Table3[[#This Row],[ضریب نهایی نویسنده]]*Table3[[#This Row],[امتیاز پایه ]]</f>
        <v>#N/A</v>
      </c>
      <c r="M11" s="46">
        <f>SUM(M2:M10)</f>
        <v>0</v>
      </c>
      <c r="N11" s="22"/>
      <c r="AD11" s="2">
        <v>10</v>
      </c>
      <c r="AE11" s="47">
        <f t="shared" si="0"/>
        <v>0.125</v>
      </c>
      <c r="AJ11" s="2">
        <v>10</v>
      </c>
      <c r="AK11" s="2">
        <v>0.45</v>
      </c>
    </row>
    <row r="12" spans="1:37" ht="57" customHeight="1" x14ac:dyDescent="0.25">
      <c r="A12" s="22" t="s">
        <v>45</v>
      </c>
      <c r="B12" s="22"/>
      <c r="C12" s="22"/>
      <c r="D12" s="22"/>
      <c r="E12" s="22"/>
      <c r="F12" s="22"/>
      <c r="G12" s="22"/>
      <c r="H12" s="46" t="e">
        <f>VLOOKUP(Table3[[#This Row],[ نوع ارائه ]],$Y$2:$Z$6,2,0)</f>
        <v>#N/A</v>
      </c>
      <c r="I12" s="46" t="e">
        <f>VLOOKUP(Table3[[#This Row],[تعداد نویسندگان ]],$AJ$2:$AK$21,2,0)</f>
        <v>#N/A</v>
      </c>
      <c r="J12" s="46" t="e">
        <f>VLOOKUP(Table3[[#This Row],[تعداد نویسندگان ]],$AD$2:$AE$21,2,0)</f>
        <v>#N/A</v>
      </c>
      <c r="K12" s="46" t="e">
        <f>IF(Table3[[#This Row],[نقش پژوهشگر]]="سایر",Table3[[#This Row],[ضریب همکار ]],Table3[[#This Row],[ضریب ارائه دهنده یا نویسنده اول ]])</f>
        <v>#N/A</v>
      </c>
      <c r="L12" s="46" t="e">
        <f>Table3[[#This Row],[ضریب نهایی نویسنده]]*Table3[[#This Row],[امتیاز پایه ]]</f>
        <v>#N/A</v>
      </c>
      <c r="M12" s="46">
        <f>SUM(M2:M10)</f>
        <v>0</v>
      </c>
      <c r="N12" s="22"/>
      <c r="AD12" s="2">
        <v>11</v>
      </c>
      <c r="AE12" s="47">
        <f t="shared" si="0"/>
        <v>0.11363636363636363</v>
      </c>
      <c r="AJ12" s="2">
        <v>11</v>
      </c>
      <c r="AK12" s="2">
        <v>0.45</v>
      </c>
    </row>
    <row r="13" spans="1:37" ht="57" customHeight="1" x14ac:dyDescent="0.25">
      <c r="AD13" s="2">
        <v>12</v>
      </c>
      <c r="AE13" s="47">
        <f t="shared" si="0"/>
        <v>0.10416666666666667</v>
      </c>
      <c r="AJ13" s="2">
        <v>12</v>
      </c>
      <c r="AK13" s="2">
        <v>0.45</v>
      </c>
    </row>
    <row r="14" spans="1:37" ht="57" customHeight="1" x14ac:dyDescent="0.25">
      <c r="AD14" s="2">
        <v>13</v>
      </c>
      <c r="AE14" s="47">
        <f t="shared" si="0"/>
        <v>9.6153846153846159E-2</v>
      </c>
      <c r="AJ14" s="2">
        <v>13</v>
      </c>
      <c r="AK14" s="2">
        <v>0.45</v>
      </c>
    </row>
    <row r="15" spans="1:37" ht="57" customHeight="1" x14ac:dyDescent="0.25">
      <c r="AD15" s="2">
        <v>14</v>
      </c>
      <c r="AE15" s="47">
        <f t="shared" si="0"/>
        <v>8.9285714285714288E-2</v>
      </c>
      <c r="AJ15" s="2">
        <v>14</v>
      </c>
      <c r="AK15" s="2">
        <v>0.45</v>
      </c>
    </row>
    <row r="16" spans="1:37" ht="57" customHeight="1" x14ac:dyDescent="0.25">
      <c r="AD16" s="2">
        <v>15</v>
      </c>
      <c r="AE16" s="47">
        <f t="shared" si="0"/>
        <v>8.3333333333333329E-2</v>
      </c>
      <c r="AJ16" s="2">
        <v>15</v>
      </c>
      <c r="AK16" s="2">
        <v>0.45</v>
      </c>
    </row>
    <row r="17" spans="30:37" ht="57" customHeight="1" x14ac:dyDescent="0.25">
      <c r="AD17" s="2">
        <v>16</v>
      </c>
      <c r="AE17" s="47">
        <f t="shared" si="0"/>
        <v>7.8125E-2</v>
      </c>
      <c r="AJ17" s="2">
        <v>16</v>
      </c>
      <c r="AK17" s="2">
        <v>0.45</v>
      </c>
    </row>
    <row r="18" spans="30:37" ht="57" customHeight="1" x14ac:dyDescent="0.25">
      <c r="AD18" s="2">
        <v>17</v>
      </c>
      <c r="AE18" s="47">
        <f t="shared" si="0"/>
        <v>7.3529411764705885E-2</v>
      </c>
      <c r="AJ18" s="2">
        <v>17</v>
      </c>
      <c r="AK18" s="2">
        <v>0.45</v>
      </c>
    </row>
    <row r="19" spans="30:37" ht="57" customHeight="1" x14ac:dyDescent="0.25">
      <c r="AD19" s="2">
        <v>18</v>
      </c>
      <c r="AE19" s="47">
        <f t="shared" si="0"/>
        <v>6.9444444444444448E-2</v>
      </c>
      <c r="AJ19" s="2">
        <v>18</v>
      </c>
      <c r="AK19" s="2">
        <v>0.45</v>
      </c>
    </row>
    <row r="20" spans="30:37" ht="57" customHeight="1" x14ac:dyDescent="0.25">
      <c r="AD20" s="2">
        <v>19</v>
      </c>
      <c r="AE20" s="47">
        <f t="shared" si="0"/>
        <v>6.5789473684210523E-2</v>
      </c>
      <c r="AJ20" s="2">
        <v>19</v>
      </c>
      <c r="AK20" s="2">
        <v>0.45</v>
      </c>
    </row>
    <row r="21" spans="30:37" ht="57" customHeight="1" x14ac:dyDescent="0.25">
      <c r="AD21" s="2">
        <v>20</v>
      </c>
      <c r="AE21" s="47">
        <f t="shared" si="0"/>
        <v>6.25E-2</v>
      </c>
      <c r="AJ21" s="2">
        <v>20</v>
      </c>
      <c r="AK21" s="2">
        <v>0.45</v>
      </c>
    </row>
  </sheetData>
  <sheetProtection algorithmName="SHA-512" hashValue="n+VYbqB5yMGVXOlEBLqc79FtPmZJ3TAyM304ZzKL4lR2lUJPOg4EuruQ7lySSFMHAzNvLTMRXGKaCmFrmZTZyA==" saltValue="6K5PpVkq5KQ7jYSGfjhAlA==" spinCount="100000" sheet="1" scenarios="1"/>
  <dataValidations count="3">
    <dataValidation type="list" allowBlank="1" showInputMessage="1" showErrorMessage="1" sqref="G11:G12">
      <formula1>$Y$2:$Y$8</formula1>
    </dataValidation>
    <dataValidation type="list" allowBlank="1" showInputMessage="1" showErrorMessage="1" sqref="G2:G10">
      <formula1>$Y$2:$Y$6</formula1>
    </dataValidation>
    <dataValidation type="list" allowBlank="1" showInputMessage="1" showErrorMessage="1" sqref="E2:E10">
      <formula1>$AC$2:$AC$3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E2" sqref="E2:H12"/>
    </sheetView>
  </sheetViews>
  <sheetFormatPr defaultColWidth="9.140625" defaultRowHeight="40.5" customHeight="1" x14ac:dyDescent="0.25"/>
  <cols>
    <col min="1" max="1" width="12" style="2" customWidth="1"/>
    <col min="2" max="2" width="54.85546875" style="2" customWidth="1"/>
    <col min="3" max="3" width="12" style="2" customWidth="1"/>
    <col min="4" max="4" width="23.42578125" style="2" customWidth="1"/>
    <col min="5" max="5" width="11.42578125" style="2" hidden="1" customWidth="1"/>
    <col min="6" max="7" width="14.42578125" style="2" hidden="1" customWidth="1"/>
    <col min="8" max="8" width="9.140625" style="2"/>
    <col min="9" max="9" width="38.5703125" style="2" customWidth="1"/>
    <col min="10" max="14" width="9.140625" style="2"/>
    <col min="15" max="16" width="9.140625" style="2" hidden="1" customWidth="1"/>
    <col min="17" max="16384" width="9.140625" style="2"/>
  </cols>
  <sheetData>
    <row r="1" spans="1:16" ht="40.5" customHeight="1" thickBot="1" x14ac:dyDescent="0.3">
      <c r="A1" s="9" t="s">
        <v>5</v>
      </c>
      <c r="B1" s="9" t="s">
        <v>55</v>
      </c>
      <c r="C1" s="9" t="s">
        <v>56</v>
      </c>
      <c r="D1" s="9" t="s">
        <v>84</v>
      </c>
      <c r="E1" s="9" t="s">
        <v>32</v>
      </c>
      <c r="F1" s="9" t="s">
        <v>57</v>
      </c>
      <c r="G1" s="54" t="s">
        <v>58</v>
      </c>
      <c r="H1" s="9" t="s">
        <v>43</v>
      </c>
      <c r="I1" s="9" t="s">
        <v>74</v>
      </c>
      <c r="O1" s="55" t="s">
        <v>80</v>
      </c>
      <c r="P1" s="56">
        <v>0.05</v>
      </c>
    </row>
    <row r="2" spans="1:16" ht="40.5" customHeight="1" thickBot="1" x14ac:dyDescent="0.3">
      <c r="A2" s="24"/>
      <c r="B2" s="24"/>
      <c r="C2" s="24"/>
      <c r="D2" s="25"/>
      <c r="E2" s="60" t="e">
        <f>VLOOKUP(Table4[[#This Row],[نقش پزوهشگر]],$O$1:$P$3,2,0)</f>
        <v>#N/A</v>
      </c>
      <c r="F2" s="60" t="e">
        <f t="shared" ref="F2:F12" si="0">IF(D2="تاليف کامل یا بخشی از کتاب",C2*0.05,+IF(D2="ترجمه کامل یا بخشی از کتاب",C2*0.03,E2))</f>
        <v>#N/A</v>
      </c>
      <c r="G2" s="60" t="e">
        <f>IF(AND(D2="تاليف کامل یا بخشی از کتاب",F2&gt;5),5,IF(AND(D2="ترجمه کامل یا بخشی از کتاب",F2&gt;3),3,F2))</f>
        <v>#N/A</v>
      </c>
      <c r="H2" s="60" t="str">
        <f>IF(ISNUMBER(G2), G2," ")</f>
        <v xml:space="preserve"> </v>
      </c>
      <c r="I2" s="24"/>
      <c r="O2" s="55" t="s">
        <v>81</v>
      </c>
      <c r="P2" s="15">
        <v>0.03</v>
      </c>
    </row>
    <row r="3" spans="1:16" ht="40.5" customHeight="1" thickBot="1" x14ac:dyDescent="0.3">
      <c r="A3" s="24"/>
      <c r="B3" s="24"/>
      <c r="C3" s="24"/>
      <c r="D3" s="25"/>
      <c r="E3" s="60" t="e">
        <f>VLOOKUP(Table4[[#This Row],[نقش پزوهشگر]],$O$1:$P$3,2,0)</f>
        <v>#N/A</v>
      </c>
      <c r="F3" s="60" t="e">
        <f t="shared" ref="F3" si="1">IF(D3="تاليف کامل یا بخشی از کتاب",C3*0.05,+IF(D3="ترجمه کامل یا بخشی از کتاب",C3*0.03,E3))</f>
        <v>#N/A</v>
      </c>
      <c r="G3" s="60" t="e">
        <f t="shared" ref="G3" si="2">IF(AND(D3="تاليف کامل یا بخشی از کتاب",F3&gt;5),5,IF(AND(D3="ترجمه کامل یا بخشی از کتاب",F3&gt;3),3,F3))</f>
        <v>#N/A</v>
      </c>
      <c r="H3" s="60" t="str">
        <f t="shared" ref="H3:H11" si="3">IF(ISNUMBER(G3), G3," ")</f>
        <v xml:space="preserve"> </v>
      </c>
      <c r="I3" s="24"/>
      <c r="O3" s="57" t="s">
        <v>82</v>
      </c>
      <c r="P3" s="15">
        <v>1</v>
      </c>
    </row>
    <row r="4" spans="1:16" ht="40.5" customHeight="1" x14ac:dyDescent="0.25">
      <c r="A4" s="24"/>
      <c r="B4" s="24"/>
      <c r="C4" s="24"/>
      <c r="D4" s="25"/>
      <c r="E4" s="60" t="e">
        <f>VLOOKUP(Table4[[#This Row],[نقش پزوهشگر]],$O$1:$P$3,2,0)</f>
        <v>#N/A</v>
      </c>
      <c r="F4" s="60" t="e">
        <f t="shared" ref="F4:F10" si="4">IF(D4="تاليف کامل یا بخشی از کتاب",C4*0.05,+IF(D4="ترجمه کامل یا بخشی از کتاب",C4*0.03,E4))</f>
        <v>#N/A</v>
      </c>
      <c r="G4" s="60" t="e">
        <f t="shared" ref="G4:G10" si="5">IF(AND(D4="تاليف کامل یا بخشی از کتاب",F4&gt;5),5,IF(AND(D4="ترجمه کامل یا بخشی از کتاب",F4&gt;3),3,F4))</f>
        <v>#N/A</v>
      </c>
      <c r="H4" s="60" t="str">
        <f t="shared" si="3"/>
        <v xml:space="preserve"> </v>
      </c>
      <c r="I4" s="24"/>
      <c r="O4" s="58" t="s">
        <v>83</v>
      </c>
      <c r="P4" s="59">
        <v>2</v>
      </c>
    </row>
    <row r="5" spans="1:16" ht="40.5" customHeight="1" x14ac:dyDescent="0.25">
      <c r="A5" s="24"/>
      <c r="B5" s="24"/>
      <c r="C5" s="24"/>
      <c r="D5" s="25"/>
      <c r="E5" s="60" t="e">
        <f>VLOOKUP(Table4[[#This Row],[نقش پزوهشگر]],$O$1:$P$3,2,0)</f>
        <v>#N/A</v>
      </c>
      <c r="F5" s="60" t="e">
        <f t="shared" si="4"/>
        <v>#N/A</v>
      </c>
      <c r="G5" s="60" t="e">
        <f t="shared" si="5"/>
        <v>#N/A</v>
      </c>
      <c r="H5" s="60" t="str">
        <f t="shared" si="3"/>
        <v xml:space="preserve"> </v>
      </c>
      <c r="I5" s="24"/>
    </row>
    <row r="6" spans="1:16" ht="40.5" customHeight="1" x14ac:dyDescent="0.25">
      <c r="A6" s="24"/>
      <c r="B6" s="24"/>
      <c r="C6" s="24"/>
      <c r="D6" s="25"/>
      <c r="E6" s="60" t="e">
        <f>VLOOKUP(Table4[[#This Row],[نقش پزوهشگر]],$O$1:$P$3,2,0)</f>
        <v>#N/A</v>
      </c>
      <c r="F6" s="60" t="e">
        <f t="shared" si="4"/>
        <v>#N/A</v>
      </c>
      <c r="G6" s="60" t="e">
        <f t="shared" si="5"/>
        <v>#N/A</v>
      </c>
      <c r="H6" s="60" t="str">
        <f t="shared" si="3"/>
        <v xml:space="preserve"> </v>
      </c>
      <c r="I6" s="24"/>
    </row>
    <row r="7" spans="1:16" ht="40.5" customHeight="1" x14ac:dyDescent="0.25">
      <c r="A7" s="24"/>
      <c r="B7" s="24"/>
      <c r="C7" s="24"/>
      <c r="D7" s="25"/>
      <c r="E7" s="60" t="e">
        <f>VLOOKUP(Table4[[#This Row],[نقش پزوهشگر]],$O$1:$P$3,2,0)</f>
        <v>#N/A</v>
      </c>
      <c r="F7" s="60" t="e">
        <f t="shared" si="4"/>
        <v>#N/A</v>
      </c>
      <c r="G7" s="60" t="e">
        <f t="shared" si="5"/>
        <v>#N/A</v>
      </c>
      <c r="H7" s="60" t="str">
        <f t="shared" si="3"/>
        <v xml:space="preserve"> </v>
      </c>
      <c r="I7" s="24"/>
    </row>
    <row r="8" spans="1:16" ht="40.5" customHeight="1" x14ac:dyDescent="0.25">
      <c r="A8" s="24"/>
      <c r="B8" s="24"/>
      <c r="C8" s="24"/>
      <c r="D8" s="25"/>
      <c r="E8" s="60" t="e">
        <f>VLOOKUP(Table4[[#This Row],[نقش پزوهشگر]],$O$1:$P$3,2,0)</f>
        <v>#N/A</v>
      </c>
      <c r="F8" s="60" t="e">
        <f t="shared" si="4"/>
        <v>#N/A</v>
      </c>
      <c r="G8" s="60" t="e">
        <f t="shared" si="5"/>
        <v>#N/A</v>
      </c>
      <c r="H8" s="60" t="str">
        <f t="shared" si="3"/>
        <v xml:space="preserve"> </v>
      </c>
      <c r="I8" s="24"/>
    </row>
    <row r="9" spans="1:16" ht="40.5" customHeight="1" x14ac:dyDescent="0.25">
      <c r="A9" s="24"/>
      <c r="B9" s="24"/>
      <c r="C9" s="24"/>
      <c r="D9" s="25"/>
      <c r="E9" s="60" t="e">
        <f>VLOOKUP(Table4[[#This Row],[نقش پزوهشگر]],$O$1:$P$3,2,0)</f>
        <v>#N/A</v>
      </c>
      <c r="F9" s="60" t="e">
        <f t="shared" si="4"/>
        <v>#N/A</v>
      </c>
      <c r="G9" s="60" t="e">
        <f t="shared" si="5"/>
        <v>#N/A</v>
      </c>
      <c r="H9" s="60" t="str">
        <f t="shared" si="3"/>
        <v xml:space="preserve"> </v>
      </c>
      <c r="I9" s="24"/>
    </row>
    <row r="10" spans="1:16" ht="40.5" customHeight="1" x14ac:dyDescent="0.25">
      <c r="A10" s="24"/>
      <c r="B10" s="24"/>
      <c r="C10" s="24"/>
      <c r="D10" s="25"/>
      <c r="E10" s="60" t="e">
        <f>VLOOKUP(Table4[[#This Row],[نقش پزوهشگر]],$O$1:$P$3,2,0)</f>
        <v>#N/A</v>
      </c>
      <c r="F10" s="60" t="e">
        <f t="shared" si="4"/>
        <v>#N/A</v>
      </c>
      <c r="G10" s="60" t="e">
        <f t="shared" si="5"/>
        <v>#N/A</v>
      </c>
      <c r="H10" s="60" t="str">
        <f t="shared" si="3"/>
        <v xml:space="preserve"> </v>
      </c>
      <c r="I10" s="24"/>
    </row>
    <row r="11" spans="1:16" ht="40.5" customHeight="1" x14ac:dyDescent="0.25">
      <c r="A11" s="24" t="s">
        <v>44</v>
      </c>
      <c r="B11" s="24"/>
      <c r="C11" s="24"/>
      <c r="D11" s="25"/>
      <c r="E11" s="60" t="e">
        <f>VLOOKUP(Table4[[#This Row],[نقش پزوهشگر]],$O$1:$P$3,2,0)</f>
        <v>#N/A</v>
      </c>
      <c r="F11" s="60" t="e">
        <f t="shared" si="0"/>
        <v>#N/A</v>
      </c>
      <c r="G11" s="60" t="e">
        <f>IF(AND(D11="تاليف کامل یا بخشی از کتاب",F11&gt;5),5,IF(AND(D11="ترجمه کامل یا بخشی از کتاب",F11&gt;3),3,F11))</f>
        <v>#N/A</v>
      </c>
      <c r="H11" s="60" t="str">
        <f t="shared" si="3"/>
        <v xml:space="preserve"> </v>
      </c>
      <c r="I11" s="24"/>
    </row>
    <row r="12" spans="1:16" ht="40.5" customHeight="1" x14ac:dyDescent="0.25">
      <c r="A12" s="24" t="s">
        <v>45</v>
      </c>
      <c r="B12" s="24"/>
      <c r="C12" s="24"/>
      <c r="D12" s="25"/>
      <c r="E12" s="61" t="e">
        <f>VLOOKUP(Table4[[#This Row],[نقش پزوهشگر]],$O$1:$P$3,2,0)</f>
        <v>#N/A</v>
      </c>
      <c r="F12" s="61" t="e">
        <f t="shared" si="0"/>
        <v>#N/A</v>
      </c>
      <c r="G12" s="61" t="e">
        <f>IF(AND(D12="تاليف کامل یا بخشی از کتاب",F12&gt;5),5,IF(AND(D12="ترجمه کامل یا بخشی از کتاب",F12&gt;3),3,F12))</f>
        <v>#N/A</v>
      </c>
      <c r="H12" s="61">
        <f>SUM(H2:H10)</f>
        <v>0</v>
      </c>
      <c r="I12" s="24"/>
    </row>
  </sheetData>
  <sheetProtection algorithmName="SHA-512" hashValue="0CY+I3NVisCeDWYAWh9n5E+M7joLAkg+Ll18sRjY5TCoPL6D2zIjM8S2KdJMIGnyuLmWZH8jUMOQyxs6tjUO5A==" saltValue="kN4EZtUFshSz2O3jPXaokg==" spinCount="100000" sheet="1" scenarios="1"/>
  <dataValidations count="1">
    <dataValidation type="list" allowBlank="1" showInputMessage="1" showErrorMessage="1" sqref="D2:D12">
      <formula1>$O$1:$O$3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F2" sqref="F2"/>
    </sheetView>
  </sheetViews>
  <sheetFormatPr defaultRowHeight="38.25" customHeight="1" x14ac:dyDescent="0.25"/>
  <cols>
    <col min="1" max="1" width="6.5703125" style="2" customWidth="1"/>
    <col min="2" max="2" width="54.42578125" style="2" customWidth="1"/>
    <col min="3" max="3" width="14.7109375" style="2" customWidth="1"/>
    <col min="4" max="4" width="11.42578125" style="2" hidden="1" customWidth="1"/>
    <col min="5" max="5" width="15.140625" style="2" customWidth="1"/>
    <col min="6" max="12" width="9.140625" style="2"/>
    <col min="13" max="13" width="12.85546875" style="2" hidden="1" customWidth="1"/>
    <col min="14" max="14" width="0" style="2" hidden="1" customWidth="1"/>
    <col min="15" max="16384" width="9.140625" style="2"/>
  </cols>
  <sheetData>
    <row r="1" spans="1:14" ht="38.25" customHeight="1" x14ac:dyDescent="0.25">
      <c r="A1" s="5" t="s">
        <v>5</v>
      </c>
      <c r="B1" s="5" t="s">
        <v>146</v>
      </c>
      <c r="C1" s="5" t="s">
        <v>147</v>
      </c>
      <c r="D1" s="5" t="s">
        <v>35</v>
      </c>
      <c r="E1" s="5" t="s">
        <v>40</v>
      </c>
      <c r="M1" s="2" t="s">
        <v>148</v>
      </c>
      <c r="N1" s="2">
        <v>1</v>
      </c>
    </row>
    <row r="2" spans="1:14" ht="64.5" customHeight="1" x14ac:dyDescent="0.25">
      <c r="A2" s="22"/>
      <c r="B2" s="22"/>
      <c r="C2" s="22"/>
      <c r="D2" s="42" t="e">
        <f>VLOOKUP(Table5[[#This Row],[نوع همکاری ]],$M$1:$N$4,2,0)</f>
        <v>#N/A</v>
      </c>
      <c r="E2" s="42" t="str">
        <f>IF(ISNUMBER(Table5[[#This Row],[امتیاز اولیه]]),Table5[[#This Row],[امتیاز اولیه]],"")</f>
        <v/>
      </c>
      <c r="M2" s="2" t="s">
        <v>149</v>
      </c>
      <c r="N2" s="2">
        <v>1.5</v>
      </c>
    </row>
    <row r="3" spans="1:14" ht="38.25" customHeight="1" x14ac:dyDescent="0.25">
      <c r="A3" s="22"/>
      <c r="B3" s="22"/>
      <c r="C3" s="22"/>
      <c r="D3" s="42" t="e">
        <f>VLOOKUP(Table5[[#This Row],[نوع همکاری ]],$M$1:$N$4,2,0)</f>
        <v>#N/A</v>
      </c>
      <c r="E3" s="42" t="str">
        <f>IF(ISNUMBER(Table5[[#This Row],[امتیاز اولیه]]),Table5[[#This Row],[امتیاز اولیه]],"")</f>
        <v/>
      </c>
      <c r="M3" s="2" t="s">
        <v>150</v>
      </c>
      <c r="N3" s="2">
        <v>0.25</v>
      </c>
    </row>
    <row r="4" spans="1:14" ht="38.25" customHeight="1" x14ac:dyDescent="0.25">
      <c r="A4" s="22"/>
      <c r="B4" s="22"/>
      <c r="C4" s="22"/>
      <c r="D4" s="42" t="e">
        <f>VLOOKUP(Table5[[#This Row],[نوع همکاری ]],$M$1:$N$4,2,0)</f>
        <v>#N/A</v>
      </c>
      <c r="E4" s="42" t="str">
        <f>IF(ISNUMBER(Table5[[#This Row],[امتیاز اولیه]]),Table5[[#This Row],[امتیاز اولیه]],"")</f>
        <v/>
      </c>
      <c r="M4" s="2" t="s">
        <v>151</v>
      </c>
      <c r="N4" s="2">
        <v>0.5</v>
      </c>
    </row>
    <row r="5" spans="1:14" ht="38.25" customHeight="1" x14ac:dyDescent="0.25">
      <c r="A5" s="22"/>
      <c r="B5" s="22"/>
      <c r="C5" s="22"/>
      <c r="D5" s="42" t="e">
        <f>VLOOKUP(Table5[[#This Row],[نوع همکاری ]],$M$1:$N$4,2,0)</f>
        <v>#N/A</v>
      </c>
      <c r="E5" s="42" t="str">
        <f>IF(ISNUMBER(Table5[[#This Row],[امتیاز اولیه]]),Table5[[#This Row],[امتیاز اولیه]],"")</f>
        <v/>
      </c>
    </row>
    <row r="6" spans="1:14" ht="38.25" customHeight="1" x14ac:dyDescent="0.25">
      <c r="A6" s="22"/>
      <c r="B6" s="22"/>
      <c r="C6" s="22"/>
      <c r="D6" s="42" t="e">
        <f>VLOOKUP(Table5[[#This Row],[نوع همکاری ]],$M$1:$N$4,2,0)</f>
        <v>#N/A</v>
      </c>
      <c r="E6" s="42" t="str">
        <f>IF(ISNUMBER(Table5[[#This Row],[امتیاز اولیه]]),Table5[[#This Row],[امتیاز اولیه]],"")</f>
        <v/>
      </c>
    </row>
    <row r="7" spans="1:14" ht="38.25" customHeight="1" x14ac:dyDescent="0.25">
      <c r="A7" s="22"/>
      <c r="B7" s="22"/>
      <c r="C7" s="22"/>
      <c r="D7" s="42" t="e">
        <f>VLOOKUP(Table5[[#This Row],[نوع همکاری ]],$M$1:$N$4,2,0)</f>
        <v>#N/A</v>
      </c>
      <c r="E7" s="42" t="str">
        <f>IF(ISNUMBER(Table5[[#This Row],[امتیاز اولیه]]),Table5[[#This Row],[امتیاز اولیه]],"")</f>
        <v/>
      </c>
    </row>
    <row r="8" spans="1:14" ht="38.25" customHeight="1" x14ac:dyDescent="0.25">
      <c r="A8" s="22"/>
      <c r="B8" s="22"/>
      <c r="C8" s="22"/>
      <c r="D8" s="42" t="e">
        <f>VLOOKUP(Table5[[#This Row],[نوع همکاری ]],$M$1:$N$4,2,0)</f>
        <v>#N/A</v>
      </c>
      <c r="E8" s="42" t="str">
        <f>IF(ISNUMBER(Table5[[#This Row],[امتیاز اولیه]]),Table5[[#This Row],[امتیاز اولیه]],"")</f>
        <v/>
      </c>
    </row>
    <row r="9" spans="1:14" ht="38.25" customHeight="1" x14ac:dyDescent="0.25">
      <c r="A9" s="22"/>
      <c r="B9" s="22"/>
      <c r="C9" s="22"/>
      <c r="D9" s="42" t="e">
        <f>VLOOKUP(Table5[[#This Row],[نوع همکاری ]],$M$1:$N$4,2,0)</f>
        <v>#N/A</v>
      </c>
      <c r="E9" s="42" t="str">
        <f>IF(ISNUMBER(Table5[[#This Row],[امتیاز اولیه]]),Table5[[#This Row],[امتیاز اولیه]],"")</f>
        <v/>
      </c>
    </row>
    <row r="10" spans="1:14" ht="38.25" customHeight="1" x14ac:dyDescent="0.25">
      <c r="A10" s="22"/>
      <c r="B10" s="22"/>
      <c r="C10" s="22"/>
      <c r="D10" s="42" t="e">
        <f>VLOOKUP(Table5[[#This Row],[نوع همکاری ]],$M$1:$N$4,2,0)</f>
        <v>#N/A</v>
      </c>
      <c r="E10" s="42" t="str">
        <f>IF(ISNUMBER(Table5[[#This Row],[امتیاز اولیه]]),Table5[[#This Row],[امتیاز اولیه]],"")</f>
        <v/>
      </c>
    </row>
    <row r="11" spans="1:14" ht="38.25" customHeight="1" x14ac:dyDescent="0.25">
      <c r="A11" s="22"/>
      <c r="B11" s="22"/>
      <c r="C11" s="22"/>
      <c r="D11" s="42" t="e">
        <f>VLOOKUP(Table5[[#This Row],[نوع همکاری ]],$M$1:$N$4,2,0)</f>
        <v>#N/A</v>
      </c>
      <c r="E11" s="42" t="str">
        <f>IF(ISNUMBER(Table5[[#This Row],[امتیاز اولیه]]),Table5[[#This Row],[امتیاز اولیه]],"")</f>
        <v/>
      </c>
    </row>
    <row r="12" spans="1:14" ht="38.25" customHeight="1" x14ac:dyDescent="0.25">
      <c r="A12" s="22"/>
      <c r="B12" s="22"/>
      <c r="C12" s="22"/>
      <c r="D12" s="42" t="e">
        <f>VLOOKUP(Table5[[#This Row],[نوع همکاری ]],$M$1:$N$4,2,0)</f>
        <v>#N/A</v>
      </c>
      <c r="E12" s="42" t="str">
        <f>IF(ISNUMBER(Table5[[#This Row],[امتیاز اولیه]]),Table5[[#This Row],[امتیاز اولیه]],"")</f>
        <v/>
      </c>
    </row>
    <row r="13" spans="1:14" ht="38.25" customHeight="1" x14ac:dyDescent="0.25">
      <c r="A13" s="22"/>
      <c r="B13" s="22"/>
      <c r="C13" s="22"/>
      <c r="D13" s="42" t="e">
        <f>VLOOKUP(Table5[[#This Row],[نوع همکاری ]],$M$1:$N$4,2,0)</f>
        <v>#N/A</v>
      </c>
      <c r="E13" s="42" t="str">
        <f>IF(ISNUMBER(Table5[[#This Row],[امتیاز اولیه]]),Table5[[#This Row],[امتیاز اولیه]],"")</f>
        <v/>
      </c>
    </row>
    <row r="14" spans="1:14" ht="38.25" customHeight="1" x14ac:dyDescent="0.25">
      <c r="A14" s="22"/>
      <c r="B14" s="22"/>
      <c r="C14" s="22"/>
      <c r="D14" s="42" t="e">
        <f>VLOOKUP(Table5[[#This Row],[نوع همکاری ]],$M$1:$N$4,2,0)</f>
        <v>#N/A</v>
      </c>
      <c r="E14" s="42" t="str">
        <f>IF(ISNUMBER(Table5[[#This Row],[امتیاز اولیه]]),Table5[[#This Row],[امتیاز اولیه]],"")</f>
        <v/>
      </c>
    </row>
    <row r="15" spans="1:14" ht="38.25" customHeight="1" x14ac:dyDescent="0.25">
      <c r="A15" s="22"/>
      <c r="B15" s="22"/>
      <c r="C15" s="22"/>
      <c r="D15" s="42" t="e">
        <f>VLOOKUP(Table5[[#This Row],[نوع همکاری ]],$M$1:$N$4,2,0)</f>
        <v>#N/A</v>
      </c>
      <c r="E15" s="42" t="str">
        <f>IF(ISNUMBER(Table5[[#This Row],[امتیاز اولیه]]),Table5[[#This Row],[امتیاز اولیه]],"")</f>
        <v/>
      </c>
    </row>
    <row r="16" spans="1:14" ht="38.25" customHeight="1" x14ac:dyDescent="0.25">
      <c r="A16" s="22"/>
      <c r="B16" s="22"/>
      <c r="C16" s="22"/>
      <c r="D16" s="42" t="e">
        <f>VLOOKUP(Table5[[#This Row],[نوع همکاری ]],$M$1:$N$4,2,0)</f>
        <v>#N/A</v>
      </c>
      <c r="E16" s="42" t="str">
        <f>IF(ISNUMBER(Table5[[#This Row],[امتیاز اولیه]]),Table5[[#This Row],[امتیاز اولیه]],"")</f>
        <v/>
      </c>
    </row>
    <row r="17" spans="1:5" ht="38.25" customHeight="1" x14ac:dyDescent="0.25">
      <c r="A17" s="22"/>
      <c r="B17" s="22"/>
      <c r="C17" s="22"/>
      <c r="D17" s="42" t="e">
        <f>VLOOKUP(Table5[[#This Row],[نوع همکاری ]],$M$1:$N$4,2,0)</f>
        <v>#N/A</v>
      </c>
      <c r="E17" s="42" t="str">
        <f>IF(ISNUMBER(Table5[[#This Row],[امتیاز اولیه]]),Table5[[#This Row],[امتیاز اولیه]],"")</f>
        <v/>
      </c>
    </row>
    <row r="18" spans="1:5" ht="38.25" customHeight="1" x14ac:dyDescent="0.25">
      <c r="A18" s="22"/>
      <c r="B18" s="22"/>
      <c r="C18" s="22"/>
      <c r="D18" s="42" t="e">
        <f>VLOOKUP(Table5[[#This Row],[نوع همکاری ]],$M$1:$N$4,2,0)</f>
        <v>#N/A</v>
      </c>
      <c r="E18" s="42" t="str">
        <f>IF(ISNUMBER(Table5[[#This Row],[امتیاز اولیه]]),Table5[[#This Row],[امتیاز اولیه]],"")</f>
        <v/>
      </c>
    </row>
    <row r="19" spans="1:5" ht="38.25" customHeight="1" x14ac:dyDescent="0.25">
      <c r="A19" s="22"/>
      <c r="B19" s="22"/>
      <c r="C19" s="22"/>
      <c r="D19" s="42" t="e">
        <f>VLOOKUP(Table5[[#This Row],[نوع همکاری ]],$M$1:$N$4,2,0)</f>
        <v>#N/A</v>
      </c>
      <c r="E19" s="42" t="str">
        <f>IF(ISNUMBER(Table5[[#This Row],[امتیاز اولیه]]),Table5[[#This Row],[امتیاز اولیه]],"")</f>
        <v/>
      </c>
    </row>
    <row r="20" spans="1:5" ht="38.25" customHeight="1" x14ac:dyDescent="0.25">
      <c r="A20" s="22"/>
      <c r="B20" s="22"/>
      <c r="C20" s="22"/>
      <c r="D20" s="42" t="e">
        <f>VLOOKUP(Table5[[#This Row],[نوع همکاری ]],$M$1:$N$4,2,0)</f>
        <v>#N/A</v>
      </c>
      <c r="E20" s="42" t="str">
        <f>IF(ISNUMBER(Table5[[#This Row],[امتیاز اولیه]]),Table5[[#This Row],[امتیاز اولیه]],"")</f>
        <v/>
      </c>
    </row>
    <row r="21" spans="1:5" ht="38.25" customHeight="1" x14ac:dyDescent="0.25">
      <c r="B21" s="2" t="s">
        <v>44</v>
      </c>
      <c r="D21" s="62" t="e">
        <f>VLOOKUP(Table5[[#This Row],[نوع همکاری ]],$M$1:$N$4,2,0)</f>
        <v>#N/A</v>
      </c>
      <c r="E21" s="62">
        <f>SUM(E2:E20)</f>
        <v>0</v>
      </c>
    </row>
  </sheetData>
  <sheetProtection algorithmName="SHA-512" hashValue="nRae3cpEVNTMTJWWXZECRUoxUMOY5VFaIJTZHMKnLov0xC08t+xnIf+JhTARenltL571AUlX0HePqMTHKgzPGQ==" saltValue="ZdkIepqjeyis9M5epHEB9Q==" spinCount="100000" sheet="1" scenarios="1"/>
  <dataValidations count="1">
    <dataValidation type="list" allowBlank="1" showInputMessage="1" showErrorMessage="1" sqref="C2:C20">
      <formula1>$M$1:$M$4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کل امتیازات</vt:lpstr>
      <vt:lpstr>سوابق امتیاز پژوهشی</vt:lpstr>
      <vt:lpstr>فعالیت آموزشی</vt:lpstr>
      <vt:lpstr>طرح درسی</vt:lpstr>
      <vt:lpstr>فعالیت های مرتبط با آموزش</vt:lpstr>
      <vt:lpstr>مقالات</vt:lpstr>
      <vt:lpstr>کنگره و همایش ها</vt:lpstr>
      <vt:lpstr>کتاب</vt:lpstr>
      <vt:lpstr>طرح تحقیقاتی</vt:lpstr>
      <vt:lpstr>کسب رتبه</vt:lpstr>
      <vt:lpstr>داوری </vt:lpstr>
      <vt:lpstr>پایان نامه ها</vt:lpstr>
      <vt:lpstr>برگزاری همایش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علی سلیمانی</cp:lastModifiedBy>
  <dcterms:created xsi:type="dcterms:W3CDTF">2021-11-18T05:26:13Z</dcterms:created>
  <dcterms:modified xsi:type="dcterms:W3CDTF">2022-10-01T09:07:42Z</dcterms:modified>
</cp:coreProperties>
</file>